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e1003201\Downloads\"/>
    </mc:Choice>
  </mc:AlternateContent>
  <xr:revisionPtr revIDLastSave="0" documentId="8_{1F1640B9-F57B-4203-B0FA-8B97ABDA2C7F}" xr6:coauthVersionLast="47" xr6:coauthVersionMax="47" xr10:uidLastSave="{00000000-0000-0000-0000-000000000000}"/>
  <workbookProtection workbookAlgorithmName="SHA-512" workbookHashValue="VoS/CwmydwUASF4Ao2DpXNR/b/rssBxsbOi+Ljnlg9q2AxwJ7ATUurYY1fTErBIs9KvqTgIvEIYOHoIp6a4ukA==" workbookSaltValue="5FHsteA1qOFZFMU7EkooQg==" workbookSpinCount="100000" lockStructure="1"/>
  <bookViews>
    <workbookView xWindow="-108" yWindow="-108" windowWidth="23256" windowHeight="12576" activeTab="4" xr2:uid="{00000000-000D-0000-FFFF-FFFF00000000}"/>
  </bookViews>
  <sheets>
    <sheet name="OHJE" sheetId="10" r:id="rId1"/>
    <sheet name="Hiilijalanjälki" sheetId="7" r:id="rId2"/>
    <sheet name="Sähkönkulutus" sheetId="1" r:id="rId3"/>
    <sheet name="Lämpöenergiankulutus" sheetId="2" r:id="rId4"/>
    <sheet name="Kuljetukset" sheetId="11" r:id="rId5"/>
    <sheet name="Jätehuolto" sheetId="5" r:id="rId6"/>
    <sheet name="Liikematkustaminen" sheetId="4" r:id="rId7"/>
    <sheet name="Päästökertoimet" sheetId="8" r:id="rId8"/>
    <sheet name="-" sheetId="3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5" l="1"/>
  <c r="M8" i="5"/>
  <c r="M9" i="5"/>
  <c r="M10" i="5"/>
  <c r="M11" i="5"/>
  <c r="M12" i="5"/>
  <c r="M13" i="5"/>
  <c r="M14" i="5"/>
  <c r="G14" i="5" s="1"/>
  <c r="F14" i="5" s="1"/>
  <c r="M15" i="5"/>
  <c r="M16" i="5"/>
  <c r="M17" i="5"/>
  <c r="M18" i="5"/>
  <c r="M19" i="5"/>
  <c r="M20" i="5"/>
  <c r="M21" i="5"/>
  <c r="M22" i="5"/>
  <c r="M23" i="5"/>
  <c r="H7" i="5"/>
  <c r="H8" i="5"/>
  <c r="H9" i="5"/>
  <c r="H10" i="5"/>
  <c r="H11" i="5"/>
  <c r="H12" i="5"/>
  <c r="H13" i="5"/>
  <c r="H15" i="5"/>
  <c r="H16" i="5"/>
  <c r="H17" i="5"/>
  <c r="H18" i="5"/>
  <c r="H19" i="5"/>
  <c r="H20" i="5"/>
  <c r="H21" i="5"/>
  <c r="H22" i="5"/>
  <c r="H23" i="5"/>
  <c r="M6" i="5"/>
  <c r="L6" i="5"/>
  <c r="H19" i="11"/>
  <c r="D10" i="1" l="1"/>
  <c r="D9" i="1"/>
  <c r="I24" i="11"/>
  <c r="I21" i="11"/>
  <c r="I22" i="11"/>
  <c r="I23" i="11"/>
  <c r="H21" i="11"/>
  <c r="H22" i="11"/>
  <c r="H23" i="11"/>
  <c r="H24" i="11"/>
  <c r="E34" i="11"/>
  <c r="AH21" i="11"/>
  <c r="AI21" i="11" s="1"/>
  <c r="AH22" i="11"/>
  <c r="AI22" i="11" s="1"/>
  <c r="AE21" i="11"/>
  <c r="AE22" i="11"/>
  <c r="AK22" i="11" s="1"/>
  <c r="AL22" i="11" s="1"/>
  <c r="AE19" i="11"/>
  <c r="AF19" i="11" s="1"/>
  <c r="C53" i="1"/>
  <c r="C54" i="1"/>
  <c r="C51" i="1"/>
  <c r="C52" i="1"/>
  <c r="C50" i="1"/>
  <c r="C56" i="1"/>
  <c r="C55" i="1"/>
  <c r="E18" i="1"/>
  <c r="E19" i="1"/>
  <c r="E20" i="1"/>
  <c r="E21" i="1"/>
  <c r="C57" i="1" l="1"/>
  <c r="D17" i="1" s="1"/>
  <c r="AK21" i="11"/>
  <c r="AF22" i="11"/>
  <c r="AF21" i="11"/>
  <c r="AF23" i="11"/>
  <c r="AS22" i="11"/>
  <c r="AV25" i="11"/>
  <c r="AJ48" i="11"/>
  <c r="B111" i="8"/>
  <c r="AT44" i="11"/>
  <c r="AI42" i="11"/>
  <c r="AD20" i="11" s="1"/>
  <c r="H20" i="11" s="1"/>
  <c r="H25" i="11" s="1"/>
  <c r="AT49" i="11"/>
  <c r="AG19" i="11" s="1"/>
  <c r="I19" i="11" s="1"/>
  <c r="F10" i="1" l="1"/>
  <c r="G10" i="1" s="1"/>
  <c r="F9" i="1"/>
  <c r="G9" i="1" s="1"/>
  <c r="AH19" i="11"/>
  <c r="AI19" i="11" s="1"/>
  <c r="AJ49" i="11"/>
  <c r="AJ47" i="11" s="1"/>
  <c r="AH23" i="11"/>
  <c r="AK23" i="11" s="1"/>
  <c r="AI23" i="11"/>
  <c r="AL23" i="11"/>
  <c r="AK19" i="11"/>
  <c r="AL19" i="11" s="1"/>
  <c r="AE20" i="11"/>
  <c r="AF20" i="11" s="1"/>
  <c r="E17" i="1"/>
  <c r="D22" i="1"/>
  <c r="AU21" i="11"/>
  <c r="AV21" i="11" s="1"/>
  <c r="AJ41" i="11"/>
  <c r="AI41" i="11"/>
  <c r="AK41" i="11"/>
  <c r="B84" i="8"/>
  <c r="B101" i="8"/>
  <c r="B79" i="8"/>
  <c r="C22" i="1"/>
  <c r="E9" i="1"/>
  <c r="AL21" i="11"/>
  <c r="AT24" i="11"/>
  <c r="AI45" i="11"/>
  <c r="AU23" i="11"/>
  <c r="AT23" i="11"/>
  <c r="AT60" i="11"/>
  <c r="AJ42" i="11" s="1"/>
  <c r="G11" i="1" l="1"/>
  <c r="AW21" i="11"/>
  <c r="AU22" i="11"/>
  <c r="AV22" i="11" s="1"/>
  <c r="AW22" i="11" s="1"/>
  <c r="AG20" i="11"/>
  <c r="I20" i="11" s="1"/>
  <c r="I25" i="11" s="1"/>
  <c r="E22" i="1"/>
  <c r="B5" i="7"/>
  <c r="AV23" i="11"/>
  <c r="AW70" i="11"/>
  <c r="AT70" i="11" s="1"/>
  <c r="AU24" i="11" s="1"/>
  <c r="AV24" i="11" s="1"/>
  <c r="AT66" i="11"/>
  <c r="AK44" i="11" s="1"/>
  <c r="AK45" i="11"/>
  <c r="AI44" i="11"/>
  <c r="AJ44" i="11"/>
  <c r="AK42" i="11"/>
  <c r="AT38" i="11"/>
  <c r="AH20" i="11" l="1"/>
  <c r="AJ45" i="11"/>
  <c r="AN41" i="11"/>
  <c r="AO41" i="11"/>
  <c r="AP41" i="11" s="1"/>
  <c r="AK20" i="11" l="1"/>
  <c r="AL20" i="11" s="1"/>
  <c r="AI20" i="11"/>
  <c r="Z50" i="11"/>
  <c r="AA50" i="11" s="1"/>
  <c r="Y50" i="11"/>
  <c r="Z49" i="11"/>
  <c r="AA49" i="11" s="1"/>
  <c r="Y49" i="11"/>
  <c r="Z48" i="11"/>
  <c r="AA48" i="11" s="1"/>
  <c r="Y48" i="11"/>
  <c r="Z47" i="11"/>
  <c r="AA47" i="11" s="1"/>
  <c r="Y47" i="11"/>
  <c r="Z46" i="11"/>
  <c r="AA46" i="11" s="1"/>
  <c r="Y46" i="11"/>
  <c r="Z45" i="11"/>
  <c r="AA45" i="11" s="1"/>
  <c r="Y45" i="11"/>
  <c r="T45" i="11"/>
  <c r="G46" i="11"/>
  <c r="E45" i="11"/>
  <c r="T44" i="11"/>
  <c r="G45" i="11"/>
  <c r="E44" i="11"/>
  <c r="T43" i="11"/>
  <c r="G44" i="11"/>
  <c r="E43" i="11"/>
  <c r="AE40" i="11"/>
  <c r="AD40" i="11"/>
  <c r="AC40" i="11"/>
  <c r="AE39" i="11"/>
  <c r="AD39" i="11"/>
  <c r="AC39" i="11"/>
  <c r="E39" i="11"/>
  <c r="AE38" i="11"/>
  <c r="AD38" i="11"/>
  <c r="AC38" i="11"/>
  <c r="G39" i="11"/>
  <c r="E38" i="11"/>
  <c r="AE37" i="11"/>
  <c r="AD37" i="11"/>
  <c r="AC37" i="11"/>
  <c r="AE36" i="11"/>
  <c r="AD36" i="11"/>
  <c r="AC36" i="11"/>
  <c r="AE35" i="11"/>
  <c r="AD35" i="11"/>
  <c r="AC35" i="11"/>
  <c r="T35" i="11"/>
  <c r="G36" i="11"/>
  <c r="E35" i="11"/>
  <c r="T34" i="11"/>
  <c r="G35" i="11"/>
  <c r="AA30" i="11"/>
  <c r="G24" i="11"/>
  <c r="G23" i="11"/>
  <c r="G22" i="11"/>
  <c r="G21" i="11"/>
  <c r="G20" i="11"/>
  <c r="G19" i="11"/>
  <c r="AE15" i="11"/>
  <c r="AE16" i="11" s="1"/>
  <c r="AE14" i="11"/>
  <c r="Y14" i="11"/>
  <c r="AE13" i="11"/>
  <c r="Y13" i="11" s="1"/>
  <c r="AE12" i="11"/>
  <c r="Y12" i="11" s="1"/>
  <c r="AV59" i="11" s="1"/>
  <c r="AE11" i="11"/>
  <c r="Y11" i="11" s="1"/>
  <c r="G25" i="11" l="1"/>
  <c r="E40" i="11"/>
  <c r="AV71" i="11"/>
  <c r="AV69" i="11"/>
  <c r="AV70" i="11"/>
  <c r="AV60" i="11"/>
  <c r="AV61" i="11"/>
  <c r="Y15" i="11"/>
  <c r="AA28" i="11" s="1"/>
  <c r="E36" i="11"/>
  <c r="E46" i="11"/>
  <c r="AB48" i="11"/>
  <c r="D14" i="11" s="1"/>
  <c r="E14" i="11" s="1"/>
  <c r="N14" i="11" s="1"/>
  <c r="K14" i="11" s="1"/>
  <c r="Y16" i="11"/>
  <c r="AC46" i="11"/>
  <c r="AB46" i="11"/>
  <c r="D12" i="11" s="1"/>
  <c r="E12" i="11" s="1"/>
  <c r="N12" i="11" s="1"/>
  <c r="K12" i="11" s="1"/>
  <c r="AC48" i="11"/>
  <c r="AB49" i="11"/>
  <c r="D15" i="11" s="1"/>
  <c r="AC49" i="11"/>
  <c r="AC50" i="11"/>
  <c r="AB50" i="11"/>
  <c r="D16" i="11" s="1"/>
  <c r="AC47" i="11"/>
  <c r="AB47" i="11"/>
  <c r="D13" i="11" s="1"/>
  <c r="AC45" i="11"/>
  <c r="AB45" i="11"/>
  <c r="D11" i="11" s="1"/>
  <c r="X14" i="11" l="1"/>
  <c r="F14" i="11" s="1"/>
  <c r="X12" i="11"/>
  <c r="F12" i="11" s="1"/>
  <c r="F24" i="11"/>
  <c r="F23" i="11"/>
  <c r="F22" i="11"/>
  <c r="F20" i="11"/>
  <c r="F19" i="11"/>
  <c r="F21" i="11"/>
  <c r="E11" i="11"/>
  <c r="X11" i="11"/>
  <c r="F11" i="11" s="1"/>
  <c r="E13" i="11"/>
  <c r="N13" i="11" s="1"/>
  <c r="K13" i="11" s="1"/>
  <c r="X13" i="11"/>
  <c r="F13" i="11" s="1"/>
  <c r="E15" i="11"/>
  <c r="N15" i="11" s="1"/>
  <c r="K15" i="11" s="1"/>
  <c r="X15" i="11"/>
  <c r="F15" i="11" s="1"/>
  <c r="X16" i="11"/>
  <c r="F16" i="11" s="1"/>
  <c r="E16" i="11"/>
  <c r="N16" i="11" s="1"/>
  <c r="K16" i="11" s="1"/>
  <c r="G14" i="11" l="1"/>
  <c r="O14" i="11" s="1"/>
  <c r="L14" i="11" s="1"/>
  <c r="N11" i="11"/>
  <c r="E17" i="11"/>
  <c r="F25" i="11"/>
  <c r="G12" i="11"/>
  <c r="G11" i="11"/>
  <c r="O11" i="11" s="1"/>
  <c r="L11" i="11" s="1"/>
  <c r="G16" i="11"/>
  <c r="G15" i="11"/>
  <c r="G13" i="11"/>
  <c r="K11" i="11" l="1"/>
  <c r="K17" i="11" s="1"/>
  <c r="O15" i="11"/>
  <c r="L15" i="11" s="1"/>
  <c r="O16" i="11"/>
  <c r="L16" i="11" s="1"/>
  <c r="O13" i="11"/>
  <c r="L13" i="11" s="1"/>
  <c r="O12" i="11"/>
  <c r="L12" i="11" s="1"/>
  <c r="G17" i="11"/>
  <c r="C29" i="11" l="1"/>
  <c r="L17" i="11"/>
  <c r="C30" i="11" s="1"/>
  <c r="F49" i="11" s="1"/>
  <c r="B14" i="7" s="1"/>
  <c r="Q19" i="3"/>
  <c r="Q17" i="3"/>
  <c r="F48" i="11" l="1"/>
  <c r="B13" i="7" s="1"/>
  <c r="C31" i="11"/>
  <c r="N20" i="3"/>
  <c r="G17" i="3" l="1"/>
  <c r="R22" i="3" l="1"/>
  <c r="R17" i="3"/>
  <c r="L17" i="3" s="1"/>
  <c r="N18" i="3"/>
  <c r="O18" i="3" s="1"/>
  <c r="N17" i="3" l="1"/>
  <c r="R19" i="3"/>
  <c r="Q20" i="3"/>
  <c r="R20" i="3" s="1"/>
  <c r="Q21" i="3"/>
  <c r="R21" i="3" s="1"/>
  <c r="Q18" i="3"/>
  <c r="R18" i="3" s="1"/>
  <c r="N19" i="3"/>
  <c r="O19" i="3" s="1"/>
  <c r="O20" i="3"/>
  <c r="N21" i="3"/>
  <c r="O21" i="3" s="1"/>
  <c r="O22" i="3" l="1"/>
  <c r="O17" i="3"/>
  <c r="V10" i="3"/>
  <c r="P10" i="3" s="1"/>
  <c r="N7" i="5" l="1"/>
  <c r="L7" i="5"/>
  <c r="G7" i="5" s="1"/>
  <c r="F7" i="5" s="1"/>
  <c r="L8" i="5"/>
  <c r="G8" i="5" s="1"/>
  <c r="N9" i="5"/>
  <c r="L9" i="5"/>
  <c r="G9" i="5" s="1"/>
  <c r="F9" i="5" s="1"/>
  <c r="L10" i="5"/>
  <c r="G10" i="5" s="1"/>
  <c r="N11" i="5"/>
  <c r="L11" i="5"/>
  <c r="G11" i="5" s="1"/>
  <c r="F11" i="5" s="1"/>
  <c r="L12" i="5"/>
  <c r="G12" i="5" s="1"/>
  <c r="N13" i="5"/>
  <c r="L13" i="5"/>
  <c r="G13" i="5" s="1"/>
  <c r="N15" i="5"/>
  <c r="L15" i="5"/>
  <c r="G15" i="5" s="1"/>
  <c r="F15" i="5" s="1"/>
  <c r="L16" i="5"/>
  <c r="G16" i="5" s="1"/>
  <c r="N17" i="5"/>
  <c r="L17" i="5"/>
  <c r="G17" i="5" s="1"/>
  <c r="F17" i="5" s="1"/>
  <c r="L18" i="5"/>
  <c r="G18" i="5" s="1"/>
  <c r="N19" i="5"/>
  <c r="L19" i="5"/>
  <c r="G19" i="5" s="1"/>
  <c r="F19" i="5" s="1"/>
  <c r="L20" i="5"/>
  <c r="G20" i="5" s="1"/>
  <c r="N21" i="5"/>
  <c r="L21" i="5"/>
  <c r="G21" i="5" s="1"/>
  <c r="F21" i="5" s="1"/>
  <c r="L22" i="5"/>
  <c r="G22" i="5" s="1"/>
  <c r="N23" i="5"/>
  <c r="L23" i="5"/>
  <c r="G23" i="5" s="1"/>
  <c r="H6" i="5"/>
  <c r="G6" i="5" s="1"/>
  <c r="G18" i="3"/>
  <c r="L18" i="3" s="1"/>
  <c r="G19" i="3"/>
  <c r="L19" i="3" s="1"/>
  <c r="G20" i="3"/>
  <c r="L20" i="3" s="1"/>
  <c r="G21" i="3"/>
  <c r="L21" i="3" s="1"/>
  <c r="G22" i="3"/>
  <c r="L22" i="3" s="1"/>
  <c r="H42" i="3"/>
  <c r="H41" i="3"/>
  <c r="H40" i="3"/>
  <c r="H32" i="3"/>
  <c r="H31" i="3"/>
  <c r="E42" i="3"/>
  <c r="E41" i="3"/>
  <c r="E40" i="3"/>
  <c r="E36" i="3"/>
  <c r="E35" i="3"/>
  <c r="E32" i="3"/>
  <c r="E31" i="3"/>
  <c r="C47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39" i="2"/>
  <c r="B39" i="2"/>
  <c r="H38" i="2"/>
  <c r="E10" i="1"/>
  <c r="F13" i="5" l="1"/>
  <c r="F23" i="5"/>
  <c r="F12" i="5"/>
  <c r="N6" i="5"/>
  <c r="N18" i="5"/>
  <c r="F18" i="5" s="1"/>
  <c r="N10" i="5"/>
  <c r="F10" i="5" s="1"/>
  <c r="N22" i="5"/>
  <c r="F22" i="5" s="1"/>
  <c r="N20" i="5"/>
  <c r="F20" i="5" s="1"/>
  <c r="N12" i="5"/>
  <c r="N16" i="5"/>
  <c r="F16" i="5" s="1"/>
  <c r="N8" i="5"/>
  <c r="F8" i="5" s="1"/>
  <c r="F6" i="5" l="1"/>
  <c r="G39" i="2"/>
  <c r="T39" i="2" s="1"/>
  <c r="N39" i="2"/>
  <c r="P39" i="2"/>
  <c r="R39" i="2"/>
  <c r="N40" i="2"/>
  <c r="P40" i="2"/>
  <c r="R40" i="2"/>
  <c r="N41" i="2"/>
  <c r="N42" i="2"/>
  <c r="N43" i="2"/>
  <c r="P43" i="2"/>
  <c r="R43" i="2"/>
  <c r="N44" i="2"/>
  <c r="N45" i="2"/>
  <c r="N46" i="2"/>
  <c r="N47" i="2"/>
  <c r="N8" i="2"/>
  <c r="R8" i="2"/>
  <c r="G30" i="2"/>
  <c r="K15" i="4"/>
  <c r="E15" i="4" s="1"/>
  <c r="V9" i="3"/>
  <c r="P9" i="3" s="1"/>
  <c r="H35" i="3"/>
  <c r="K16" i="4"/>
  <c r="E16" i="4" s="1"/>
  <c r="K17" i="4"/>
  <c r="E17" i="4" s="1"/>
  <c r="D7" i="4"/>
  <c r="E7" i="4" s="1"/>
  <c r="D8" i="4"/>
  <c r="E8" i="4" s="1"/>
  <c r="D9" i="4"/>
  <c r="E9" i="4" s="1"/>
  <c r="D10" i="4"/>
  <c r="E10" i="4" s="1"/>
  <c r="Q16" i="5"/>
  <c r="C16" i="5" s="1"/>
  <c r="Q17" i="5"/>
  <c r="C17" i="5" s="1"/>
  <c r="Q18" i="5"/>
  <c r="B59" i="8" s="1"/>
  <c r="Q19" i="5"/>
  <c r="C19" i="5" s="1"/>
  <c r="Q20" i="5"/>
  <c r="C20" i="5" s="1"/>
  <c r="Q21" i="5"/>
  <c r="B62" i="8" s="1"/>
  <c r="Q22" i="5"/>
  <c r="C22" i="5" s="1"/>
  <c r="Q23" i="5"/>
  <c r="B64" i="8" s="1"/>
  <c r="Q15" i="5"/>
  <c r="C15" i="5" s="1"/>
  <c r="F47" i="2"/>
  <c r="R47" i="2" s="1"/>
  <c r="E47" i="2"/>
  <c r="P47" i="2" s="1"/>
  <c r="F46" i="2"/>
  <c r="R46" i="2" s="1"/>
  <c r="E46" i="2"/>
  <c r="F45" i="2"/>
  <c r="R45" i="2" s="1"/>
  <c r="E45" i="2"/>
  <c r="P45" i="2" s="1"/>
  <c r="F44" i="2"/>
  <c r="R44" i="2" s="1"/>
  <c r="E44" i="2"/>
  <c r="G43" i="2"/>
  <c r="T43" i="2" s="1"/>
  <c r="F42" i="2"/>
  <c r="R42" i="2" s="1"/>
  <c r="E42" i="2"/>
  <c r="P42" i="2" s="1"/>
  <c r="F41" i="2"/>
  <c r="R41" i="2" s="1"/>
  <c r="E41" i="2"/>
  <c r="P41" i="2" s="1"/>
  <c r="G40" i="2"/>
  <c r="T40" i="2" s="1"/>
  <c r="G12" i="2"/>
  <c r="T12" i="2" s="1"/>
  <c r="P43" i="1"/>
  <c r="R43" i="1"/>
  <c r="P44" i="1"/>
  <c r="R44" i="1"/>
  <c r="P45" i="1"/>
  <c r="R45" i="1"/>
  <c r="P46" i="1"/>
  <c r="R46" i="1"/>
  <c r="P47" i="1"/>
  <c r="R47" i="1"/>
  <c r="T42" i="3"/>
  <c r="T43" i="3"/>
  <c r="T44" i="3"/>
  <c r="T45" i="3"/>
  <c r="T46" i="3"/>
  <c r="U42" i="3"/>
  <c r="V42" i="3" s="1"/>
  <c r="O40" i="3"/>
  <c r="N16" i="4"/>
  <c r="F16" i="4" s="1"/>
  <c r="N17" i="4"/>
  <c r="F17" i="4" s="1"/>
  <c r="N20" i="4"/>
  <c r="F20" i="4" s="1"/>
  <c r="N15" i="4"/>
  <c r="F15" i="4" s="1"/>
  <c r="K20" i="4"/>
  <c r="E20" i="4" s="1"/>
  <c r="V13" i="3"/>
  <c r="P13" i="3" s="1"/>
  <c r="V11" i="3"/>
  <c r="P11" i="3" s="1"/>
  <c r="V28" i="3"/>
  <c r="V12" i="3"/>
  <c r="P12" i="3" s="1"/>
  <c r="M8" i="4"/>
  <c r="F8" i="4" s="1"/>
  <c r="M9" i="4"/>
  <c r="F9" i="4" s="1"/>
  <c r="M10" i="4"/>
  <c r="F10" i="4" s="1"/>
  <c r="M7" i="4"/>
  <c r="F7" i="4" s="1"/>
  <c r="O41" i="3"/>
  <c r="B48" i="8"/>
  <c r="B49" i="8"/>
  <c r="B50" i="8"/>
  <c r="B51" i="8"/>
  <c r="B52" i="8"/>
  <c r="B53" i="8"/>
  <c r="B54" i="8"/>
  <c r="B55" i="8"/>
  <c r="B47" i="8"/>
  <c r="C13" i="5"/>
  <c r="C12" i="5"/>
  <c r="C7" i="5"/>
  <c r="C6" i="5"/>
  <c r="C8" i="5"/>
  <c r="C9" i="5"/>
  <c r="C10" i="5"/>
  <c r="C11" i="5"/>
  <c r="E43" i="3"/>
  <c r="T47" i="3"/>
  <c r="U43" i="3"/>
  <c r="V43" i="3"/>
  <c r="U44" i="3"/>
  <c r="V44" i="3" s="1"/>
  <c r="U45" i="3"/>
  <c r="V45" i="3"/>
  <c r="U46" i="3"/>
  <c r="V46" i="3" s="1"/>
  <c r="U47" i="3"/>
  <c r="V47" i="3"/>
  <c r="Y37" i="3"/>
  <c r="Z33" i="3"/>
  <c r="Z34" i="3"/>
  <c r="Z35" i="3"/>
  <c r="Z36" i="3"/>
  <c r="Z37" i="3"/>
  <c r="Z32" i="3"/>
  <c r="Y33" i="3"/>
  <c r="Y34" i="3"/>
  <c r="Y35" i="3"/>
  <c r="Y36" i="3"/>
  <c r="Y32" i="3"/>
  <c r="X33" i="3"/>
  <c r="X34" i="3"/>
  <c r="X35" i="3"/>
  <c r="X36" i="3"/>
  <c r="X37" i="3"/>
  <c r="X32" i="3"/>
  <c r="O42" i="3"/>
  <c r="O31" i="3"/>
  <c r="O32" i="3"/>
  <c r="Y17" i="5"/>
  <c r="R16" i="5" s="1"/>
  <c r="Y18" i="5"/>
  <c r="R17" i="5" s="1"/>
  <c r="Y19" i="5"/>
  <c r="R18" i="5" s="1"/>
  <c r="Y20" i="5"/>
  <c r="R19" i="5" s="1"/>
  <c r="Y21" i="5"/>
  <c r="R20" i="5" s="1"/>
  <c r="Y22" i="5"/>
  <c r="R21" i="5" s="1"/>
  <c r="Y23" i="5"/>
  <c r="R22" i="5" s="1"/>
  <c r="Z24" i="5"/>
  <c r="R23" i="5" s="1"/>
  <c r="Z25" i="5"/>
  <c r="Y16" i="5"/>
  <c r="R15" i="5" s="1"/>
  <c r="P8" i="2"/>
  <c r="X24" i="5"/>
  <c r="W23" i="5"/>
  <c r="W22" i="5"/>
  <c r="W21" i="5"/>
  <c r="W20" i="5"/>
  <c r="W19" i="5"/>
  <c r="W18" i="5"/>
  <c r="W17" i="5"/>
  <c r="W16" i="5"/>
  <c r="X12" i="5"/>
  <c r="M80" i="5"/>
  <c r="M81" i="5" s="1"/>
  <c r="K21" i="4"/>
  <c r="E21" i="4" s="1"/>
  <c r="E25" i="4"/>
  <c r="G9" i="2"/>
  <c r="T9" i="2" s="1"/>
  <c r="E16" i="2"/>
  <c r="P16" i="2" s="1"/>
  <c r="F16" i="2"/>
  <c r="R16" i="2" s="1"/>
  <c r="E15" i="2"/>
  <c r="P15" i="2" s="1"/>
  <c r="F15" i="2"/>
  <c r="R15" i="2" s="1"/>
  <c r="E14" i="2"/>
  <c r="P14" i="2" s="1"/>
  <c r="F14" i="2"/>
  <c r="R14" i="2" s="1"/>
  <c r="E13" i="2"/>
  <c r="P13" i="2" s="1"/>
  <c r="F13" i="2"/>
  <c r="R13" i="2" s="1"/>
  <c r="E11" i="2"/>
  <c r="P11" i="2" s="1"/>
  <c r="F11" i="2"/>
  <c r="E10" i="2"/>
  <c r="P10" i="2" s="1"/>
  <c r="F10" i="2"/>
  <c r="A32" i="2"/>
  <c r="O44" i="2" s="1"/>
  <c r="N13" i="2"/>
  <c r="N12" i="2"/>
  <c r="N11" i="2"/>
  <c r="N10" i="2"/>
  <c r="N9" i="2"/>
  <c r="N14" i="2"/>
  <c r="N16" i="2"/>
  <c r="N15" i="2"/>
  <c r="P14" i="3"/>
  <c r="T8" i="2"/>
  <c r="B56" i="8" l="1"/>
  <c r="Q14" i="2"/>
  <c r="O11" i="2"/>
  <c r="H17" i="4"/>
  <c r="H16" i="4"/>
  <c r="D29" i="5"/>
  <c r="B11" i="7" s="1"/>
  <c r="H20" i="4"/>
  <c r="H15" i="4"/>
  <c r="B61" i="8"/>
  <c r="Q45" i="2"/>
  <c r="G44" i="2"/>
  <c r="T44" i="2" s="1"/>
  <c r="S10" i="2"/>
  <c r="B60" i="8"/>
  <c r="Q46" i="2"/>
  <c r="C18" i="5"/>
  <c r="O14" i="2"/>
  <c r="Q40" i="2"/>
  <c r="O13" i="2"/>
  <c r="O46" i="2"/>
  <c r="O31" i="2"/>
  <c r="G47" i="2"/>
  <c r="U47" i="2" s="1"/>
  <c r="O8" i="2"/>
  <c r="S40" i="2"/>
  <c r="S14" i="2"/>
  <c r="W44" i="3"/>
  <c r="D11" i="3" s="1"/>
  <c r="E11" i="3" s="1"/>
  <c r="S44" i="2"/>
  <c r="P46" i="2"/>
  <c r="G16" i="2"/>
  <c r="Q11" i="2"/>
  <c r="G14" i="2"/>
  <c r="T14" i="2" s="1"/>
  <c r="S11" i="2"/>
  <c r="W42" i="3"/>
  <c r="D9" i="3" s="1"/>
  <c r="E9" i="3" s="1"/>
  <c r="V26" i="3"/>
  <c r="C22" i="3" s="1"/>
  <c r="K22" i="3" s="1"/>
  <c r="J22" i="3" s="1"/>
  <c r="X46" i="3"/>
  <c r="R11" i="2"/>
  <c r="Q16" i="2"/>
  <c r="Q44" i="2"/>
  <c r="Q47" i="2"/>
  <c r="Q41" i="2"/>
  <c r="G31" i="2"/>
  <c r="G13" i="2"/>
  <c r="U13" i="2" s="1"/>
  <c r="G42" i="2"/>
  <c r="T42" i="2" s="1"/>
  <c r="G46" i="2"/>
  <c r="E11" i="4"/>
  <c r="C23" i="5"/>
  <c r="B57" i="8"/>
  <c r="B63" i="8"/>
  <c r="C21" i="5"/>
  <c r="B58" i="8"/>
  <c r="W46" i="3"/>
  <c r="D13" i="3" s="1"/>
  <c r="O13" i="3" s="1"/>
  <c r="F13" i="3" s="1"/>
  <c r="K13" i="3" s="1"/>
  <c r="E37" i="3"/>
  <c r="W47" i="3"/>
  <c r="D14" i="3" s="1"/>
  <c r="O14" i="3" s="1"/>
  <c r="F14" i="3" s="1"/>
  <c r="K14" i="3" s="1"/>
  <c r="X43" i="3"/>
  <c r="X44" i="3"/>
  <c r="W43" i="3"/>
  <c r="E33" i="3"/>
  <c r="W45" i="3"/>
  <c r="D12" i="3" s="1"/>
  <c r="O12" i="3" s="1"/>
  <c r="F12" i="3" s="1"/>
  <c r="K12" i="3" s="1"/>
  <c r="X45" i="3"/>
  <c r="X42" i="3"/>
  <c r="V14" i="3"/>
  <c r="X47" i="3"/>
  <c r="U43" i="2"/>
  <c r="E11" i="1"/>
  <c r="B4" i="7" s="1"/>
  <c r="U46" i="2"/>
  <c r="T46" i="2"/>
  <c r="O9" i="2"/>
  <c r="S13" i="2"/>
  <c r="O10" i="2"/>
  <c r="G45" i="2"/>
  <c r="S45" i="2"/>
  <c r="O39" i="2"/>
  <c r="O41" i="2"/>
  <c r="S42" i="2"/>
  <c r="N31" i="2"/>
  <c r="O16" i="2"/>
  <c r="U40" i="2"/>
  <c r="Q43" i="2"/>
  <c r="U8" i="2"/>
  <c r="G15" i="2"/>
  <c r="R10" i="2"/>
  <c r="P30" i="2"/>
  <c r="P31" i="2" s="1"/>
  <c r="U12" i="2"/>
  <c r="H12" i="2" s="1"/>
  <c r="H43" i="2" s="1"/>
  <c r="S46" i="2"/>
  <c r="S39" i="2"/>
  <c r="Q42" i="2"/>
  <c r="O43" i="2"/>
  <c r="Q15" i="2"/>
  <c r="P25" i="2" s="1"/>
  <c r="Q10" i="2"/>
  <c r="O42" i="2"/>
  <c r="G11" i="2"/>
  <c r="G10" i="2"/>
  <c r="O45" i="2"/>
  <c r="G41" i="2"/>
  <c r="Q13" i="2"/>
  <c r="O12" i="2"/>
  <c r="U44" i="2"/>
  <c r="S15" i="2"/>
  <c r="U9" i="2"/>
  <c r="H9" i="2" s="1"/>
  <c r="H40" i="2" s="1"/>
  <c r="S41" i="2"/>
  <c r="S47" i="2"/>
  <c r="P44" i="2"/>
  <c r="O40" i="2"/>
  <c r="S43" i="2"/>
  <c r="Q39" i="2"/>
  <c r="O47" i="2"/>
  <c r="S16" i="2"/>
  <c r="O15" i="2"/>
  <c r="N25" i="2" s="1"/>
  <c r="H24" i="2" s="1"/>
  <c r="R25" i="2"/>
  <c r="U39" i="2"/>
  <c r="O11" i="3" l="1"/>
  <c r="F11" i="3" s="1"/>
  <c r="K11" i="3" s="1"/>
  <c r="C19" i="3"/>
  <c r="K19" i="3" s="1"/>
  <c r="J19" i="3" s="1"/>
  <c r="D28" i="5"/>
  <c r="B10" i="7" s="1"/>
  <c r="H22" i="4"/>
  <c r="F27" i="4" s="1"/>
  <c r="B12" i="7" s="1"/>
  <c r="R18" i="2"/>
  <c r="N18" i="2"/>
  <c r="U42" i="2"/>
  <c r="T13" i="2"/>
  <c r="H13" i="2" s="1"/>
  <c r="H44" i="2" s="1"/>
  <c r="C20" i="3"/>
  <c r="K20" i="3" s="1"/>
  <c r="J20" i="3" s="1"/>
  <c r="U14" i="2"/>
  <c r="H14" i="2" s="1"/>
  <c r="C21" i="3"/>
  <c r="K21" i="3" s="1"/>
  <c r="J21" i="3" s="1"/>
  <c r="T47" i="2"/>
  <c r="G11" i="3"/>
  <c r="L11" i="3" s="1"/>
  <c r="J11" i="3" s="1"/>
  <c r="G13" i="3"/>
  <c r="L13" i="3" s="1"/>
  <c r="J13" i="3" s="1"/>
  <c r="G12" i="3"/>
  <c r="L12" i="3" s="1"/>
  <c r="J12" i="3" s="1"/>
  <c r="G14" i="3"/>
  <c r="L14" i="3" s="1"/>
  <c r="J14" i="3" s="1"/>
  <c r="D10" i="3"/>
  <c r="O10" i="3" s="1"/>
  <c r="F10" i="3" s="1"/>
  <c r="K10" i="3" s="1"/>
  <c r="U16" i="2"/>
  <c r="T16" i="2"/>
  <c r="C17" i="3"/>
  <c r="K17" i="3" s="1"/>
  <c r="J17" i="3" s="1"/>
  <c r="C18" i="3"/>
  <c r="K18" i="3" s="1"/>
  <c r="J18" i="3" s="1"/>
  <c r="E14" i="3"/>
  <c r="E13" i="3"/>
  <c r="P18" i="2"/>
  <c r="E12" i="3"/>
  <c r="T25" i="2"/>
  <c r="H8" i="2"/>
  <c r="B17" i="7"/>
  <c r="U41" i="2"/>
  <c r="T41" i="2"/>
  <c r="U45" i="2"/>
  <c r="T45" i="2"/>
  <c r="U10" i="2"/>
  <c r="T10" i="2"/>
  <c r="T15" i="2"/>
  <c r="U15" i="2"/>
  <c r="T11" i="2"/>
  <c r="U11" i="2"/>
  <c r="O9" i="3"/>
  <c r="F9" i="3" s="1"/>
  <c r="K9" i="3" s="1"/>
  <c r="C31" i="5" l="1"/>
  <c r="H16" i="2"/>
  <c r="H47" i="2" s="1"/>
  <c r="G10" i="3"/>
  <c r="L10" i="3" s="1"/>
  <c r="J10" i="3"/>
  <c r="E10" i="3"/>
  <c r="D23" i="3" s="1"/>
  <c r="F45" i="3" s="1"/>
  <c r="G9" i="3"/>
  <c r="L9" i="3" s="1"/>
  <c r="T21" i="2"/>
  <c r="H45" i="2"/>
  <c r="H39" i="2"/>
  <c r="H15" i="2"/>
  <c r="H46" i="2" s="1"/>
  <c r="T24" i="2"/>
  <c r="T18" i="2"/>
  <c r="H11" i="2"/>
  <c r="H42" i="2" s="1"/>
  <c r="H10" i="2"/>
  <c r="H41" i="2" s="1"/>
  <c r="G24" i="3" l="1"/>
  <c r="J9" i="3"/>
  <c r="D24" i="3"/>
  <c r="F46" i="3"/>
  <c r="F47" i="3" s="1"/>
  <c r="G23" i="3"/>
  <c r="H21" i="2"/>
  <c r="H22" i="2" s="1"/>
  <c r="T22" i="2" s="1"/>
  <c r="H18" i="2"/>
  <c r="H23" i="2" l="1"/>
  <c r="B8" i="7"/>
  <c r="H19" i="2"/>
  <c r="D26" i="3"/>
  <c r="G45" i="3"/>
  <c r="G26" i="3"/>
  <c r="G47" i="3"/>
  <c r="G46" i="3"/>
  <c r="H20" i="2" l="1"/>
  <c r="T19" i="2"/>
  <c r="B6" i="7"/>
  <c r="B9" i="7"/>
  <c r="T23" i="2"/>
  <c r="T20" i="2" l="1"/>
  <c r="B7" i="7"/>
  <c r="B15" i="7" s="1"/>
  <c r="F10" i="7" s="1"/>
  <c r="B16" i="7" l="1"/>
  <c r="E10" i="7"/>
  <c r="G10" i="7"/>
</calcChain>
</file>

<file path=xl/sharedStrings.xml><?xml version="1.0" encoding="utf-8"?>
<sst xmlns="http://schemas.openxmlformats.org/spreadsheetml/2006/main" count="1363" uniqueCount="683">
  <si>
    <t>Yhteensä</t>
  </si>
  <si>
    <r>
      <t>kg 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ekv</t>
    </r>
  </si>
  <si>
    <t>€/vrk</t>
  </si>
  <si>
    <t xml:space="preserve">Lento km yht. </t>
  </si>
  <si>
    <t>Lennot</t>
  </si>
  <si>
    <t>Yöpymisiä yht. (vrk)</t>
  </si>
  <si>
    <t>Lähteet:</t>
  </si>
  <si>
    <t>Liikematkustamisesta aiheutuneet kasvihuonekaasupäästöt yhteensä</t>
  </si>
  <si>
    <t>Hiilijalanjälki muodostuu alla olevista kokonaisuuksista</t>
  </si>
  <si>
    <r>
      <t>kg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ekv</t>
    </r>
  </si>
  <si>
    <t>HUOM! Tämä taulukko ja kuvaaja täyttyy itsestään sitä mukaa, kun tietoja syötetään muihin välilehtiin</t>
  </si>
  <si>
    <t>Ajetut km yht.</t>
  </si>
  <si>
    <r>
      <t>Yht.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ekv (g)</t>
    </r>
  </si>
  <si>
    <t>Sähkönkulutus (MWh/a)</t>
  </si>
  <si>
    <t>Nestekaasu</t>
  </si>
  <si>
    <t>Kevyt polttoöljy</t>
  </si>
  <si>
    <t>Raskas polttoöljy</t>
  </si>
  <si>
    <t>Maakaasu</t>
  </si>
  <si>
    <t>Turve</t>
  </si>
  <si>
    <t>MJ</t>
  </si>
  <si>
    <t>Kwh</t>
  </si>
  <si>
    <t>1 MJ=</t>
  </si>
  <si>
    <t>kWh</t>
  </si>
  <si>
    <r>
      <t xml:space="preserve">Biokaasu </t>
    </r>
    <r>
      <rPr>
        <b/>
        <sz val="10"/>
        <color indexed="10"/>
        <rFont val="Arial"/>
        <family val="2"/>
      </rPr>
      <t>BIO</t>
    </r>
  </si>
  <si>
    <t>Lisää vuotuinen kaatopaikkajätteen ja biojätteen määrä sinisiin kenttiin</t>
  </si>
  <si>
    <t>t/a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</si>
  <si>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ekv (kg/t) </t>
    </r>
    <r>
      <rPr>
        <b/>
        <vertAlign val="superscript"/>
        <sz val="10"/>
        <rFont val="Arial"/>
        <family val="2"/>
      </rPr>
      <t>2</t>
    </r>
  </si>
  <si>
    <t>Oletukset:</t>
  </si>
  <si>
    <t>Täytä sinisiin kenttiin matkustuskilometrit ja hotelliyöpymisvuorokaudet</t>
  </si>
  <si>
    <t>Tavarajunat keskimäärin, sähkö</t>
  </si>
  <si>
    <t>Tavarajunat keskimäärin, diesel</t>
  </si>
  <si>
    <r>
      <t>kg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ekv</t>
    </r>
  </si>
  <si>
    <t>Hiilijalanjälki kokonaisuudessaan</t>
  </si>
  <si>
    <t>Kansallinen päästökerroin</t>
  </si>
  <si>
    <t>Aurinkosähkö</t>
  </si>
  <si>
    <t>Tuulivoima</t>
  </si>
  <si>
    <t>Vesivoima</t>
  </si>
  <si>
    <t>Sähkönkulutus 
(MWh/a)</t>
  </si>
  <si>
    <t>Sähkötyyppi</t>
  </si>
  <si>
    <t>1 kWh=</t>
  </si>
  <si>
    <t>HUOM! Nämä laskelmat eivät sisälly hiilijalanjälkeen.</t>
  </si>
  <si>
    <t>Alla olevassa taulukossa ja kuvaajassa voit vertailla alkuperältään erilaisten sähkötyyppien aiheuttamia kasvihuonekaasupäästöjä.</t>
  </si>
  <si>
    <t>Syötä sähkönkulutustietosi sinisiin kenttiin. HUOM! Tämä ei sisälly hiilijalanjälkeen.</t>
  </si>
  <si>
    <t>Lisää vuotuinen lämmöntuotannon aiheuttama polttoaineiden kulutus alla olevan taulukon sinisiin kenttiin joko MJ:na tai kWh:na.</t>
  </si>
  <si>
    <t>* Maantieajoa ja täydet kuormat</t>
  </si>
  <si>
    <t>Alla olevassa taulukossa ja kuvaajassa voi vertailla eri polttoaineiden aiheuttamia kasvihuonekaasupäästöjä syöttämällä lämpöenergian kulutustiedot sinisiin kenttiin.</t>
  </si>
  <si>
    <r>
      <t>t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ekv</t>
    </r>
  </si>
  <si>
    <t>Kulutettu 
lämpöenergia (MJ)</t>
  </si>
  <si>
    <t>Kulutettu 
lämpöenergia (kWh)</t>
  </si>
  <si>
    <r>
      <t>Yhteensä 
kg CO</t>
    </r>
    <r>
      <rPr>
        <b/>
        <vertAlign val="subscript"/>
        <sz val="10"/>
        <rFont val="Arial"/>
        <family val="2"/>
      </rPr>
      <t>2</t>
    </r>
  </si>
  <si>
    <r>
      <t>Yhteensä
kg CH</t>
    </r>
    <r>
      <rPr>
        <b/>
        <vertAlign val="subscript"/>
        <sz val="10"/>
        <rFont val="Arial"/>
        <family val="2"/>
      </rPr>
      <t>4</t>
    </r>
  </si>
  <si>
    <r>
      <t>Yhteensä
kg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</si>
  <si>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r>
      <t>Yhteensä
kg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ekv</t>
    </r>
  </si>
  <si>
    <r>
      <t xml:space="preserve">Kasviperäiset 
polttoaineet </t>
    </r>
    <r>
      <rPr>
        <b/>
        <sz val="10"/>
        <color indexed="10"/>
        <rFont val="Arial"/>
        <family val="2"/>
      </rPr>
      <t>BIO</t>
    </r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</si>
  <si>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
(kg/MJ) </t>
    </r>
    <r>
      <rPr>
        <b/>
        <vertAlign val="superscript"/>
        <sz val="10"/>
        <rFont val="Arial"/>
        <family val="2"/>
      </rPr>
      <t>1</t>
    </r>
  </si>
  <si>
    <r>
      <t>CH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
(kg/MJ) </t>
    </r>
    <r>
      <rPr>
        <b/>
        <vertAlign val="superscript"/>
        <sz val="10"/>
        <rFont val="Arial"/>
        <family val="2"/>
      </rPr>
      <t>2</t>
    </r>
  </si>
  <si>
    <r>
      <t>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O 
(kg/MJ) </t>
    </r>
    <r>
      <rPr>
        <b/>
        <vertAlign val="superscript"/>
        <sz val="10"/>
        <rFont val="Arial"/>
        <family val="2"/>
      </rPr>
      <t>2</t>
    </r>
  </si>
  <si>
    <r>
      <t>Yhteensä
kg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ekv</t>
    </r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</si>
  <si>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ekv 
(kg/MJ) </t>
    </r>
    <r>
      <rPr>
        <b/>
        <vertAlign val="superscript"/>
        <sz val="10"/>
        <rFont val="Arial"/>
        <family val="2"/>
      </rPr>
      <t>3</t>
    </r>
  </si>
  <si>
    <t>Jätehuollosta muodostuu yhteensä kasvihuonekaasuja</t>
  </si>
  <si>
    <t>Jakautuminen eri vaikutusalueisiin</t>
  </si>
  <si>
    <t>Vaikutusalue 3 on GHG-protokollan mukaan vapaaehtoinen rajaus.</t>
  </si>
  <si>
    <t xml:space="preserve">Tällä laskurilla tarkastellaan siihen sisältyvistä kasvihuonekaasulähteistä tärkeimpiä, kuten jätehuoltoa, liikematkustamista ja raaka-aineiden sekä tuotteiden kuljetuksia. </t>
  </si>
  <si>
    <t xml:space="preserve">Jätehuollossa ei ole mukana tuotteen käytöstä poistoa, koska laskenta halutaan pitää yksinkertaisena. </t>
  </si>
  <si>
    <t xml:space="preserve">Raaka-aineiden ja tuotteiden kuljetuksesta aiheutuneet kasvihuonekaasupäästöt </t>
  </si>
  <si>
    <t>Yksikkö</t>
  </si>
  <si>
    <t>Vuosi</t>
  </si>
  <si>
    <t>Lähde</t>
  </si>
  <si>
    <t>kg/tkm</t>
  </si>
  <si>
    <r>
      <t>LIPASTO</t>
    </r>
    <r>
      <rPr>
        <vertAlign val="superscript"/>
        <sz val="10"/>
        <rFont val="Arial"/>
        <family val="2"/>
      </rPr>
      <t xml:space="preserve"> 1</t>
    </r>
  </si>
  <si>
    <t>Suomi</t>
  </si>
  <si>
    <r>
      <t xml:space="preserve">LIPASTO </t>
    </r>
    <r>
      <rPr>
        <vertAlign val="superscript"/>
        <sz val="10"/>
        <rFont val="Arial"/>
        <family val="2"/>
      </rPr>
      <t>1</t>
    </r>
  </si>
  <si>
    <t xml:space="preserve">kg/tkm </t>
  </si>
  <si>
    <t>kg/kg</t>
  </si>
  <si>
    <t>Energiankulutus ja -tuotanto:</t>
  </si>
  <si>
    <t>Energia</t>
  </si>
  <si>
    <t>Jätteet:</t>
  </si>
  <si>
    <t>Saatavissa: http://tilastokeskus.fi/tup/khkinv/khkaasut_polttoaineluokitus.html</t>
  </si>
  <si>
    <t>sille ja pienpoltolle. Saatavissa: http://www.vtt.fi/inf/pdf/workingpapers/2006/W43.pdf</t>
  </si>
  <si>
    <t>Saatavissa: http://www.ymparisto.fi/print.asp?contentid=381074&amp;lan=fi&amp;clan=fi</t>
  </si>
  <si>
    <t>Saatavissa: http://www.ymparisto.fi/download.asp?contentid=92262</t>
  </si>
  <si>
    <t>Liikematkustaminen:</t>
  </si>
  <si>
    <t>Kulkuväline</t>
  </si>
  <si>
    <t>g/hkm</t>
  </si>
  <si>
    <t>Henkilöautolla ajetut 
km:t (diesel) #</t>
  </si>
  <si>
    <t>Bussi km:t ##</t>
  </si>
  <si>
    <t>Juna km:t ###</t>
  </si>
  <si>
    <r>
      <t>Päästökerroin
(CO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-ekv.)</t>
    </r>
  </si>
  <si>
    <t>kg/€</t>
  </si>
  <si>
    <t>*** Potkuriturbiini</t>
  </si>
  <si>
    <t>**** Suihkuturbiini</t>
  </si>
  <si>
    <t>### Intercity, sähköjuna</t>
  </si>
  <si>
    <t>#### hotelliyöpymisen hinta a' 80 €/vrk</t>
  </si>
  <si>
    <t>" Kuivajätteen joukossa 5 % biojätettä</t>
  </si>
  <si>
    <r>
      <t xml:space="preserve">Puuperäiset 
polttoaineet </t>
    </r>
    <r>
      <rPr>
        <sz val="10"/>
        <color indexed="10"/>
        <rFont val="Arial"/>
        <family val="2"/>
      </rPr>
      <t>BIO</t>
    </r>
  </si>
  <si>
    <r>
      <t xml:space="preserve">Kasviperäiset 
polttoaineet </t>
    </r>
    <r>
      <rPr>
        <sz val="10"/>
        <color indexed="10"/>
        <rFont val="Arial"/>
        <family val="2"/>
      </rPr>
      <t>BIO</t>
    </r>
  </si>
  <si>
    <r>
      <t xml:space="preserve">Biokaasu </t>
    </r>
    <r>
      <rPr>
        <sz val="10"/>
        <color indexed="10"/>
        <rFont val="Arial"/>
        <family val="2"/>
      </rPr>
      <t>BIO</t>
    </r>
  </si>
  <si>
    <t>kg/MJ</t>
  </si>
  <si>
    <r>
      <t>Arvioinnissa käytettiin laskennallisena päästökertoimena 24 g CO</t>
    </r>
    <r>
      <rPr>
        <sz val="7"/>
        <rFont val="Arial"/>
        <family val="2"/>
      </rPr>
      <t>2</t>
    </r>
    <r>
      <rPr>
        <sz val="11"/>
        <rFont val="Arial"/>
        <family val="2"/>
      </rPr>
      <t>-ekv./kWh, joka vastaa</t>
    </r>
  </si>
  <si>
    <t>vesivoiman tuotantopäästöjen mediaanitietoja hallitustenvälisen ilmastonmuutospaneelin IPCC:n raportin</t>
  </si>
  <si>
    <r>
      <t>(2014) mukaan</t>
    </r>
    <r>
      <rPr>
        <sz val="7"/>
        <rFont val="Arial"/>
        <family val="2"/>
      </rPr>
      <t>4</t>
    </r>
    <r>
      <rPr>
        <sz val="11"/>
        <rFont val="Arial"/>
        <family val="2"/>
      </rPr>
      <t>. Tuulivoiman tuotantopäästöt ovat alhaisemmat (mediaani noin 11–12 g CO</t>
    </r>
    <r>
      <rPr>
        <sz val="7"/>
        <rFont val="Arial"/>
        <family val="2"/>
      </rPr>
      <t>2</t>
    </r>
    <r>
      <rPr>
        <sz val="11"/>
        <rFont val="Arial"/>
        <family val="2"/>
      </rPr>
      <t>-ekv./kWh)</t>
    </r>
  </si>
  <si>
    <t>Perzcyk D, Roy J, Schaeffer R, Sims R, Smith P, Wiser R 2014: Annex III: Technology-specific cost and</t>
  </si>
  <si>
    <t>performance parameters. In: Climate Change 2014: Mitigation of Climate Change. Contribution of Working Group</t>
  </si>
  <si>
    <t>III to the Fifth Assessment Report of the Intergovernmental Panel on Climate Change.</t>
  </si>
  <si>
    <t>Vertailua muihin tuotantotapoihin ja päästökertoimia (ei vaikuta laskentaan)</t>
  </si>
  <si>
    <t>https://www.ipcc.ch/site/assets/uploads/2018/02/ipcc_wg3_ar5_annex-iii.pdf</t>
  </si>
  <si>
    <t>sivu 7</t>
  </si>
  <si>
    <t>Käytetty päästökerroin</t>
  </si>
  <si>
    <t>Ydinvoima</t>
  </si>
  <si>
    <t>huom: rajauksista riippuen uusiutuvat energiamuodot voidaan olettaan myös päästöttömiksi, tässä näkyvät kertoimet huomioivat laitosten rakentamisen ja ylläpidon vaikutukset</t>
  </si>
  <si>
    <t>CO2ekv 
(kg/MWh) 3</t>
  </si>
  <si>
    <t>Sähköntuotannon päästökertoimia</t>
  </si>
  <si>
    <t>Suur-Savon Sähkö</t>
  </si>
  <si>
    <t>g/kWh = kg/MWh</t>
  </si>
  <si>
    <t>Savon Voima</t>
  </si>
  <si>
    <t>Etelä-Savon Energia</t>
  </si>
  <si>
    <t>VÄHIMAT:</t>
  </si>
  <si>
    <t>Pohjois-Karjalan Sähkö</t>
  </si>
  <si>
    <r>
      <t>kg CO</t>
    </r>
    <r>
      <rPr>
        <vertAlign val="subscript"/>
        <sz val="10"/>
        <rFont val="Arial"/>
        <family val="2"/>
      </rPr>
      <t>2</t>
    </r>
  </si>
  <si>
    <r>
      <t>kg CH</t>
    </r>
    <r>
      <rPr>
        <vertAlign val="subscript"/>
        <sz val="10"/>
        <rFont val="Arial"/>
        <family val="2"/>
      </rPr>
      <t>4</t>
    </r>
  </si>
  <si>
    <r>
      <t>kg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</si>
  <si>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2</t>
    </r>
    <r>
      <rPr>
        <sz val="10"/>
        <rFont val="Arial"/>
        <family val="2"/>
      </rPr>
      <t xml:space="preserve"> VTT.2006. Dityppioksidin (N2O) ja metaanin (CH4) päästökertoimia Suomen voimalaitoksille, lämpökeskuksille ja pienpoltolle. </t>
    </r>
  </si>
  <si>
    <t>Perävaunullinen yhdistelmä (76 t /51 t) *</t>
  </si>
  <si>
    <r>
      <t>1</t>
    </r>
    <r>
      <rPr>
        <sz val="10"/>
        <color indexed="10"/>
        <rFont val="Arial"/>
        <family val="2"/>
      </rPr>
      <t xml:space="preserve"> Suomen ympäristökeskus. 2011. Suomen sähkönhankinnan päästöt elinkaarilaskelmissa. http://www.ymparisto.fi/default.asp?node=26328&amp;lan=fi</t>
    </r>
  </si>
  <si>
    <t>Vanhat lähteet:</t>
  </si>
  <si>
    <r>
      <t>3</t>
    </r>
    <r>
      <rPr>
        <sz val="10"/>
        <color indexed="10"/>
        <rFont val="Arial"/>
        <family val="2"/>
      </rPr>
      <t xml:space="preserve"> Kaupunginjohtajien yleiskokous, Tekninen liite SEAP-lomakkeen täyttöohjeisiin, Päästökertoimet, http://www.eumayors.eu/IMG/pdf/technical_annex_fi.pdf</t>
    </r>
  </si>
  <si>
    <t>vanhat lähteet:</t>
  </si>
  <si>
    <r>
      <t>1</t>
    </r>
    <r>
      <rPr>
        <sz val="10"/>
        <color indexed="10"/>
        <rFont val="Arial"/>
        <family val="2"/>
      </rPr>
      <t xml:space="preserve"> Tilastokeskus. 2011. Polttoaineluokitus 2011. http://tilastokeskus.fi/tup/khkinv/khkaasut_polttoaineluokitus_2011.xls</t>
    </r>
  </si>
  <si>
    <r>
      <t>2</t>
    </r>
    <r>
      <rPr>
        <sz val="10"/>
        <color indexed="10"/>
        <rFont val="Arial"/>
        <family val="2"/>
      </rPr>
      <t xml:space="preserve"> VTT.2006. Dityppioksidin (N2O) ja metaanin (CH4) päästökertoimia Suomen voimalaitoksille, lämpökeskuksille ja pienpoltolle. </t>
    </r>
  </si>
  <si>
    <r>
      <t>3</t>
    </r>
    <r>
      <rPr>
        <sz val="10"/>
        <color indexed="10"/>
        <rFont val="Arial"/>
        <family val="2"/>
      </rPr>
      <t xml:space="preserve"> GWP</t>
    </r>
    <r>
      <rPr>
        <vertAlign val="subscript"/>
        <sz val="10"/>
        <color indexed="10"/>
        <rFont val="Arial"/>
        <family val="2"/>
      </rPr>
      <t>100</t>
    </r>
    <r>
      <rPr>
        <sz val="10"/>
        <color indexed="10"/>
        <rFont val="Arial"/>
        <family val="2"/>
      </rPr>
      <t xml:space="preserve"> arvot IPCC. 2007. IPCC Fourth Assessment Report: Climate Change 2007, http://www.ipcc.ch/publications_and_data/ar4/wg1/en/ch2s2-10-2.html</t>
    </r>
  </si>
  <si>
    <t>1 Tilastokeskus. 2019. Polttoaineluokitus 2019. https://www.stat.fi/tup/khkinv/khkaasut_polttoaineluokitus.html</t>
  </si>
  <si>
    <t>3 GWP100 arvot: IPCC. 2013. IPCC Fifth Assessment Report: Climate Change 2013. http://www.ipcc.ch/publications_and_data/ar4/wg1/en/ch2s2-10-2.html</t>
  </si>
  <si>
    <r>
      <t>2</t>
    </r>
    <r>
      <rPr>
        <sz val="10"/>
        <color indexed="10"/>
        <rFont val="Arial"/>
        <family val="2"/>
      </rPr>
      <t xml:space="preserve"> GWP</t>
    </r>
    <r>
      <rPr>
        <vertAlign val="subscript"/>
        <sz val="10"/>
        <color indexed="10"/>
        <rFont val="Arial"/>
        <family val="2"/>
      </rPr>
      <t>100</t>
    </r>
    <r>
      <rPr>
        <sz val="10"/>
        <color indexed="10"/>
        <rFont val="Arial"/>
        <family val="2"/>
      </rPr>
      <t xml:space="preserve"> arvot: IPCC. 2007. IPCC Fifth Assessment Report: Climate Change 2007. http://www.ipcc.ch/publications_and_data/ar4/wg1/en/ch2s2-10-2.html</t>
    </r>
  </si>
  <si>
    <r>
      <t>1</t>
    </r>
    <r>
      <rPr>
        <sz val="10"/>
        <color indexed="10"/>
        <rFont val="Arial"/>
        <family val="2"/>
      </rPr>
      <t xml:space="preserve"> Myllymaa et al. 2008. Jätteiden kierrätyksen ja polton käsittelyketjujen ympäristökuormitus ja kustannukset. S. 26 ja 61. http://www.ymparisto.fi/download.asp?contentid=92262</t>
    </r>
  </si>
  <si>
    <r>
      <t>2</t>
    </r>
    <r>
      <rPr>
        <sz val="10"/>
        <color indexed="10"/>
        <rFont val="Arial"/>
        <family val="2"/>
      </rPr>
      <t xml:space="preserve"> GWP</t>
    </r>
    <r>
      <rPr>
        <vertAlign val="subscript"/>
        <sz val="10"/>
        <color indexed="10"/>
        <rFont val="Arial"/>
        <family val="2"/>
      </rPr>
      <t xml:space="preserve">100 </t>
    </r>
    <r>
      <rPr>
        <sz val="10"/>
        <color indexed="10"/>
        <rFont val="Arial"/>
        <family val="2"/>
      </rPr>
      <t>arvot IPCC. 2007. IPCC Fourth Assessment Report: Climate Change 2007, http://www.ipcc.ch/publications_and_data/ar4/wg1/en/ch2s2-10-2.html</t>
    </r>
  </si>
  <si>
    <r>
      <t>1</t>
    </r>
    <r>
      <rPr>
        <sz val="10"/>
        <color indexed="10"/>
        <rFont val="Arial"/>
        <family val="2"/>
      </rPr>
      <t xml:space="preserve"> VTT 2010. LIPASTO Liikenteen päästöt, http://lipasto.vtt.fi/</t>
    </r>
  </si>
  <si>
    <r>
      <t>2</t>
    </r>
    <r>
      <rPr>
        <sz val="10"/>
        <color indexed="10"/>
        <rFont val="Arial"/>
        <family val="2"/>
      </rPr>
      <t xml:space="preserve"> Seppälä et al. 2009. Suomen kansantalouden materiaalivirtojen ympäristövaikutusten arviointi ENVIMAT-mallilla, Liite 8</t>
    </r>
  </si>
  <si>
    <t>Lähteet</t>
  </si>
  <si>
    <t xml:space="preserve">vanhat: </t>
  </si>
  <si>
    <r>
      <t>1</t>
    </r>
    <r>
      <rPr>
        <sz val="10"/>
        <color indexed="10"/>
        <rFont val="Arial"/>
        <family val="2"/>
      </rPr>
      <t xml:space="preserve"> VTT 2010. LIPASTO Liikenteen päästöt. http://lipasto.vtt.fi/</t>
    </r>
  </si>
  <si>
    <t>Päästökerroin
(CO2-ekv.)</t>
  </si>
  <si>
    <t>biojäte päästökerroin</t>
  </si>
  <si>
    <t>g CO2-ekv./kg</t>
  </si>
  <si>
    <t>pohjautuu pääkaupunkiseudun jätehuollon laskelmiin (2016)</t>
  </si>
  <si>
    <t>http://www.ilmastolaskuri.fi/fi/calculation-basis?country=2</t>
  </si>
  <si>
    <t>HSY 2018</t>
  </si>
  <si>
    <t>kartonki ja pahvi</t>
  </si>
  <si>
    <t>lasi</t>
  </si>
  <si>
    <t>muovi</t>
  </si>
  <si>
    <t>paperi</t>
  </si>
  <si>
    <t>energiajäte/sekajäte energiahyötykäyttöön</t>
  </si>
  <si>
    <t>sähkölaitteet</t>
  </si>
  <si>
    <t>vaarallinen jäte</t>
  </si>
  <si>
    <t>Henna Teerihalme, pääkaupunkiseudun jätehuollon laskelmiin perustuen</t>
  </si>
  <si>
    <t>1170 kg CO2/tonni</t>
  </si>
  <si>
    <t>Tilastokeskus, polttoaineluokitus</t>
  </si>
  <si>
    <t>sekapolttoaineet</t>
  </si>
  <si>
    <t>Tilastokeskus, Polttoaineluokitus</t>
  </si>
  <si>
    <t>kierrätyspolttoaineet</t>
  </si>
  <si>
    <t>Co2 t/TJ</t>
  </si>
  <si>
    <t>GJ</t>
  </si>
  <si>
    <t>1 GJ = 0,001 TJ</t>
  </si>
  <si>
    <t>kg/tonni</t>
  </si>
  <si>
    <t>t/TJ</t>
  </si>
  <si>
    <t>purkupuu</t>
  </si>
  <si>
    <t>kyllästetty puu</t>
  </si>
  <si>
    <t>jätepelletit</t>
  </si>
  <si>
    <t>kumijätteet</t>
  </si>
  <si>
    <t>yhdyskuntajäte/sekajäte</t>
  </si>
  <si>
    <t>muut sekapolttoaineet</t>
  </si>
  <si>
    <t>bio-osuus</t>
  </si>
  <si>
    <t>muovijätteet</t>
  </si>
  <si>
    <t>t CO2/tonni</t>
  </si>
  <si>
    <t xml:space="preserve">muut jätteet </t>
  </si>
  <si>
    <t>Pakettiauto (kokonaismassa 2,7 t/täysi kuorma 1,2 t) *</t>
  </si>
  <si>
    <t>Jakelukuorma-auto (15 t/9 t) *</t>
  </si>
  <si>
    <t>Puoliperävaunuyhdistelmä (40 t/25 t) *</t>
  </si>
  <si>
    <t>Perävaunullinen yhdistelmä (60 t /40 t) *</t>
  </si>
  <si>
    <r>
      <t>CH</t>
    </r>
    <r>
      <rPr>
        <b/>
        <vertAlign val="subscript"/>
        <sz val="10"/>
        <color indexed="10"/>
        <rFont val="Arial"/>
        <family val="2"/>
      </rPr>
      <t>4</t>
    </r>
    <r>
      <rPr>
        <b/>
        <sz val="10"/>
        <color indexed="10"/>
        <rFont val="Arial"/>
        <family val="2"/>
      </rPr>
      <t>- ja N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O-päästökertoimet POR-arvoja, eli öljypolttimen lukuja Taulukosta 22</t>
    </r>
  </si>
  <si>
    <t>Tuulivoima, maalla</t>
  </si>
  <si>
    <t>Tuulivoima, off-shore</t>
  </si>
  <si>
    <t>Aurinkosähkö, katoilla</t>
  </si>
  <si>
    <t>Aurinkosähkö, muu "utility"</t>
  </si>
  <si>
    <t>lähde</t>
  </si>
  <si>
    <t>CO2ekv</t>
  </si>
  <si>
    <t>GWH</t>
  </si>
  <si>
    <r>
      <t xml:space="preserve"> </t>
    </r>
    <r>
      <rPr>
        <sz val="10"/>
        <rFont val="Arial"/>
        <family val="2"/>
      </rPr>
      <t>Intergovernmental Panel on Climate Change, IPCC: Schlömer S, Bruckner T, Fulton L, Hertwich E, McKinnon A,</t>
    </r>
  </si>
  <si>
    <t>TILASTOKESKUKSEN LUKUJA ALLA</t>
  </si>
  <si>
    <t>Täältä s.1335, taulukon oikean laidan mediaanilukuja</t>
  </si>
  <si>
    <r>
      <t>CH</t>
    </r>
    <r>
      <rPr>
        <b/>
        <vertAlign val="subscript"/>
        <sz val="10"/>
        <color indexed="10"/>
        <rFont val="Arial"/>
        <family val="2"/>
      </rPr>
      <t>4</t>
    </r>
    <r>
      <rPr>
        <b/>
        <sz val="10"/>
        <color indexed="10"/>
        <rFont val="Arial"/>
        <family val="2"/>
      </rPr>
      <t>- ja N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O-päästökertoimet POR-arvoja, eli öljypolttimen lukuja lähteen 2 Taulukosta 22</t>
    </r>
  </si>
  <si>
    <t>Motivan päästökerroin, sisältää vain polton, ei polttoaineiden tuotantoja yms., täydennetty kuriositeettina CH4 ja N2O määrät lähteestä 2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</si>
  <si>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ekv 
(kg/MJ) </t>
    </r>
    <r>
      <rPr>
        <b/>
        <vertAlign val="superscript"/>
        <sz val="10"/>
        <rFont val="Arial"/>
        <family val="2"/>
      </rPr>
      <t>3 ja 4</t>
    </r>
  </si>
  <si>
    <t>Motivan päästökerroin, sisältää vain polton, ei polttoaineiden tuotantoja yms., täydennetty kuriositeettina nähtäville CH4 ja N2O määrät lähteestä 2</t>
  </si>
  <si>
    <t>g CO2 / tkm</t>
  </si>
  <si>
    <t>g CH4 /tkm</t>
  </si>
  <si>
    <t>g N2O /tkm</t>
  </si>
  <si>
    <t>Pitkät lennot, &gt;  5000  km ** d</t>
  </si>
  <si>
    <t>CO2 ekv., kg/l diesel</t>
  </si>
  <si>
    <t>CO, kg/l diesel</t>
  </si>
  <si>
    <t>HC, kg/l diesel</t>
  </si>
  <si>
    <t>Nox, kg/l diesel</t>
  </si>
  <si>
    <t>PM, kg/l diesel</t>
  </si>
  <si>
    <t>CH4, kg/l diesel</t>
  </si>
  <si>
    <t>N2O, kg/l diesel</t>
  </si>
  <si>
    <t>SO2, kgl/ diesel</t>
  </si>
  <si>
    <t>CO2, kg/l diesel</t>
  </si>
  <si>
    <t>Anna kulutetut diesellitrat / moodi</t>
  </si>
  <si>
    <t>Puoliperävaunu (40/25 t)</t>
  </si>
  <si>
    <t>keskimäärin v. 2016</t>
  </si>
  <si>
    <t>Täysperävaunu 60/40 t)</t>
  </si>
  <si>
    <t>Jakeluauto 15/9 t</t>
  </si>
  <si>
    <t>Jakeluauto 6/3.5 t</t>
  </si>
  <si>
    <t>Pakettiauto, Max 1,2 t</t>
  </si>
  <si>
    <t>Jakelukuorma-auto (6 t/3,5 t) **</t>
  </si>
  <si>
    <t>** 30 % Maantieajoa</t>
  </si>
  <si>
    <t>1 VTT 2017. Lipasto yksikköpäästötiedot vuodelta 2017. http://lipasto.vtt.fi/, vierailtu 4.11.2019</t>
  </si>
  <si>
    <r>
      <t>CO</t>
    </r>
    <r>
      <rPr>
        <b/>
        <vertAlign val="subscript"/>
        <sz val="10"/>
        <rFont val="Arial"/>
        <family val="2"/>
      </rPr>
      <t>2 ei bio</t>
    </r>
    <r>
      <rPr>
        <b/>
        <sz val="10"/>
        <rFont val="Arial"/>
        <family val="2"/>
      </rPr>
      <t xml:space="preserve"> (kg/t) </t>
    </r>
    <r>
      <rPr>
        <sz val="10"/>
        <rFont val="Arial"/>
        <family val="2"/>
      </rPr>
      <t/>
    </r>
  </si>
  <si>
    <t>kokonaispäästö</t>
  </si>
  <si>
    <t>Kulutus, litraa Diesel ***</t>
  </si>
  <si>
    <t>*** 2016 vuoden keskiarvoinen päästö, EUR-Luokka vaikuttaa lähinnä muihin kuin CO2-päästöön</t>
  </si>
  <si>
    <t>Kotimaa, pitkät 400 &lt; 1000 km * b</t>
  </si>
  <si>
    <t>Eurooppaan, n. 2000 km ** c</t>
  </si>
  <si>
    <t>Kotimaa, lyhyet  &lt; 400 km * a</t>
  </si>
  <si>
    <t>Tyhjä</t>
  </si>
  <si>
    <t>Täysi</t>
  </si>
  <si>
    <t>Kuorma</t>
  </si>
  <si>
    <t>Ero / t</t>
  </si>
  <si>
    <t>%- kuormasta</t>
  </si>
  <si>
    <t>km</t>
  </si>
  <si>
    <t>Kuorma %</t>
  </si>
  <si>
    <t>Tyhjä-täysi ero</t>
  </si>
  <si>
    <t>Kuorma, t</t>
  </si>
  <si>
    <t>Kuorma, t, huomaa max koko</t>
  </si>
  <si>
    <t>Rahti, tonnia</t>
  </si>
  <si>
    <t>Matka, km</t>
  </si>
  <si>
    <r>
      <t xml:space="preserve">1 </t>
    </r>
    <r>
      <rPr>
        <sz val="8"/>
        <rFont val="Arial"/>
        <family val="2"/>
      </rPr>
      <t>VTT 2017. Lipasto yksikköpäästötiedot vuodelta 2016. http://lipasto.vtt.fi/, vierailtu 5.11.2019</t>
    </r>
  </si>
  <si>
    <t>** täyytöaste 65 %</t>
  </si>
  <si>
    <r>
      <t xml:space="preserve">Finnair </t>
    </r>
    <r>
      <rPr>
        <vertAlign val="superscript"/>
        <sz val="10"/>
        <rFont val="Arial"/>
        <family val="2"/>
      </rPr>
      <t>2</t>
    </r>
  </si>
  <si>
    <r>
      <t xml:space="preserve">Seppälä et al. </t>
    </r>
    <r>
      <rPr>
        <vertAlign val="superscript"/>
        <sz val="10"/>
        <rFont val="Arial"/>
        <family val="2"/>
      </rPr>
      <t>3</t>
    </r>
  </si>
  <si>
    <r>
      <t xml:space="preserve">Tilastokeskus </t>
    </r>
    <r>
      <rPr>
        <vertAlign val="superscript"/>
        <sz val="10"/>
        <rFont val="Arial"/>
        <family val="2"/>
      </rPr>
      <t xml:space="preserve">4
</t>
    </r>
    <r>
      <rPr>
        <sz val="10"/>
        <rFont val="Arial"/>
        <family val="2"/>
      </rPr>
      <t>+ VTT</t>
    </r>
    <r>
      <rPr>
        <vertAlign val="superscript"/>
        <sz val="10"/>
        <rFont val="Arial"/>
        <family val="2"/>
      </rPr>
      <t xml:space="preserve"> 5</t>
    </r>
  </si>
  <si>
    <t>Kartonki ja pahvi</t>
  </si>
  <si>
    <t>Lasi</t>
  </si>
  <si>
    <t>Metalli</t>
  </si>
  <si>
    <t>Paperi</t>
  </si>
  <si>
    <t>Patterit / Akut</t>
  </si>
  <si>
    <t>Kertakuorma, keskimäärin, t</t>
  </si>
  <si>
    <t>Dieselin kulutus, g / tkm</t>
  </si>
  <si>
    <t>Die-tuotento kg/kg</t>
  </si>
  <si>
    <t>Dieselin tuotannon aiheuttama päästö, kg CO2 ekv.</t>
  </si>
  <si>
    <t>Biojäte kaasutetuksi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</si>
  <si>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ekv 
(g/tkm) * </t>
    </r>
    <r>
      <rPr>
        <b/>
        <vertAlign val="superscript"/>
        <sz val="10"/>
        <rFont val="Arial"/>
        <family val="2"/>
      </rPr>
      <t>4</t>
    </r>
  </si>
  <si>
    <r>
      <t>CO</t>
    </r>
    <r>
      <rPr>
        <b/>
        <vertAlign val="subscript"/>
        <sz val="10"/>
        <rFont val="Arial"/>
        <family val="2"/>
      </rPr>
      <t>2 bio</t>
    </r>
    <r>
      <rPr>
        <b/>
        <sz val="10"/>
        <rFont val="Arial"/>
        <family val="2"/>
      </rPr>
      <t xml:space="preserve"> (kg/t) 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</si>
  <si>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Tilastokeskus 2019, Polttoaineluokitus, päivitetty 14.2.2019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</si>
  <si>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GWP100 arvot: IPCC. 2013. IPCC Fifth Assessment Report: Climate Change 2013, https://www.ipcc.ch/pdf/assessmentreport/ar5/wg1/WG1AR5_Chapter08_FINAL.pdf (p. 73-79) </t>
    </r>
  </si>
  <si>
    <r>
      <rPr>
        <vertAlign val="superscript"/>
        <sz val="11"/>
        <rFont val="Calibri"/>
        <family val="2"/>
      </rPr>
      <t>4</t>
    </r>
    <r>
      <rPr>
        <sz val="11"/>
        <rFont val="Calibri"/>
        <family val="2"/>
      </rPr>
      <t xml:space="preserve"> VTT 2017. Lipasto yksikköpäästötiedot vuodelta 2019. http://lipasto.vtt.fi/</t>
    </r>
  </si>
  <si>
    <t>Kotimaa, lyhyet  &lt; 400 km ** a</t>
  </si>
  <si>
    <t>Kotimaa, pitkät 400 &lt; 1000 km * *b</t>
  </si>
  <si>
    <t>Eurooppaan, n. 2000 km *** c</t>
  </si>
  <si>
    <t>Pitkät lennot, &gt;  5000  km *** d</t>
  </si>
  <si>
    <t>Konttialus 2000TEU **</t>
  </si>
  <si>
    <t>** Täyttöaste 65 %</t>
  </si>
  <si>
    <t>Konttialus 1000 TEU **</t>
  </si>
  <si>
    <t>****** Intercity ja pendolino, keskiarvo, sähköjunia, sähkön päästökerroin edellisiltä välilehdiltä</t>
  </si>
  <si>
    <t>**** Taksi, diesel-auto, kuormitus 1,3 henkilöä, taajama- ja katuajo, v. 2016 tiedot</t>
  </si>
  <si>
    <r>
      <t>3</t>
    </r>
    <r>
      <rPr>
        <sz val="10"/>
        <rFont val="Arial"/>
        <family val="2"/>
      </rPr>
      <t xml:space="preserve"> Seppälä et al. 2009. Suomen kansantalouden materiaalivirtojen ympäristövaikutusten arviointi ENVIMAT-mallilla, Liite 8</t>
    </r>
  </si>
  <si>
    <r>
      <t xml:space="preserve">Hotelliyöpymiset </t>
    </r>
    <r>
      <rPr>
        <b/>
        <vertAlign val="superscript"/>
        <sz val="11"/>
        <color indexed="8"/>
        <rFont val="Calibri"/>
        <family val="2"/>
      </rPr>
      <t>3</t>
    </r>
  </si>
  <si>
    <r>
      <t xml:space="preserve">Bussi km:t ***** </t>
    </r>
    <r>
      <rPr>
        <b/>
        <vertAlign val="superscript"/>
        <sz val="11"/>
        <color indexed="8"/>
        <rFont val="Calibri"/>
        <family val="2"/>
      </rPr>
      <t>2</t>
    </r>
  </si>
  <si>
    <r>
      <t xml:space="preserve">Juna km:t ****** </t>
    </r>
    <r>
      <rPr>
        <b/>
        <vertAlign val="superscript"/>
        <sz val="11"/>
        <color indexed="8"/>
        <rFont val="Calibri"/>
        <family val="2"/>
      </rPr>
      <t>2</t>
    </r>
  </si>
  <si>
    <r>
      <t xml:space="preserve">Taksi km:t **** </t>
    </r>
    <r>
      <rPr>
        <b/>
        <vertAlign val="superscript"/>
        <sz val="11"/>
        <color indexed="8"/>
        <rFont val="Calibri"/>
        <family val="2"/>
      </rPr>
      <t>2</t>
    </r>
  </si>
  <si>
    <r>
      <t xml:space="preserve">Henkilöautolla ajetut km:t (bensiini) *** </t>
    </r>
    <r>
      <rPr>
        <b/>
        <vertAlign val="superscript"/>
        <sz val="11"/>
        <color indexed="8"/>
        <rFont val="Calibri"/>
        <family val="2"/>
      </rPr>
      <t>2</t>
    </r>
  </si>
  <si>
    <r>
      <t xml:space="preserve">Henkilöautolla ajetut km:t (diesel) *** </t>
    </r>
    <r>
      <rPr>
        <b/>
        <vertAlign val="superscript"/>
        <sz val="11"/>
        <color indexed="8"/>
        <rFont val="Calibri"/>
        <family val="2"/>
      </rPr>
      <t>2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</si>
  <si>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VTT 2017. Lipasto yksikköpäästötiedot vuodelta 2019. http://lipasto.vtt.fi/</t>
    </r>
  </si>
  <si>
    <r>
      <t xml:space="preserve">Maantiekuljetus </t>
    </r>
    <r>
      <rPr>
        <b/>
        <vertAlign val="superscript"/>
        <sz val="10"/>
        <rFont val="Arial"/>
        <family val="2"/>
      </rPr>
      <t>1</t>
    </r>
  </si>
  <si>
    <r>
      <t xml:space="preserve">Laivakuljetukset </t>
    </r>
    <r>
      <rPr>
        <b/>
        <vertAlign val="superscript"/>
        <sz val="10"/>
        <rFont val="Arial"/>
        <family val="2"/>
      </rPr>
      <t>1</t>
    </r>
  </si>
  <si>
    <r>
      <t xml:space="preserve">Rautatiekuljetukset </t>
    </r>
    <r>
      <rPr>
        <b/>
        <vertAlign val="superscript"/>
        <sz val="10"/>
        <rFont val="Arial"/>
        <family val="2"/>
      </rPr>
      <t>1</t>
    </r>
  </si>
  <si>
    <t>Konttialus, 1000 TEU ****</t>
  </si>
  <si>
    <t>Konttialus, 2000 TEU ****</t>
  </si>
  <si>
    <t>**** Konttialusten täyttöaste ka. 65 %, TEU = 20 jalan kontti, kontti sisältää ka. 9 t lastia</t>
  </si>
  <si>
    <t>kg/MWh</t>
  </si>
  <si>
    <t>2019/2006</t>
  </si>
  <si>
    <r>
      <t>IPPC</t>
    </r>
    <r>
      <rPr>
        <vertAlign val="superscript"/>
        <sz val="10"/>
        <rFont val="Arial"/>
        <family val="2"/>
      </rPr>
      <t xml:space="preserve"> 7</t>
    </r>
  </si>
  <si>
    <t>Maailma</t>
  </si>
  <si>
    <t>Muovi</t>
  </si>
  <si>
    <t>kg/t</t>
  </si>
  <si>
    <t>n/a</t>
  </si>
  <si>
    <t>g/km</t>
  </si>
  <si>
    <t>Taksi km:t Diesel ####</t>
  </si>
  <si>
    <t>Hotelliyöpymiset #####</t>
  </si>
  <si>
    <t>##### hotelliyöpymisen hinta a' 80 €/vrk</t>
  </si>
  <si>
    <t>2 Finnairin laskurista RTK (revenue ton kilometer) luvut lennoille Helsingistä a) Ouluun b) Pariisiin, c) Tokioon https://www.finnair.com/fi/fi/emissions-calculator</t>
  </si>
  <si>
    <t>Kulutus, l/RTK</t>
  </si>
  <si>
    <r>
      <t xml:space="preserve">Lentorahti ***** </t>
    </r>
    <r>
      <rPr>
        <b/>
        <vertAlign val="superscript"/>
        <sz val="10"/>
        <rFont val="Arial"/>
        <family val="2"/>
      </rPr>
      <t>2</t>
    </r>
  </si>
  <si>
    <t xml:space="preserve">* Potkuriturbiini (ATR 72-500) väleille HKI - a) Jns,b) Oulu, </t>
  </si>
  <si>
    <t>Kulutus, kg/km</t>
  </si>
  <si>
    <t>Polttoaineen tuotannon päästö</t>
  </si>
  <si>
    <r>
      <t xml:space="preserve">4 </t>
    </r>
    <r>
      <rPr>
        <sz val="10"/>
        <rFont val="Arial"/>
        <family val="2"/>
      </rPr>
      <t>Ecoinvent 3.5 tietokannasta haettu arvo polttoaineiden valmistamiselle.</t>
    </r>
  </si>
  <si>
    <t>Finnairilta tieto,km</t>
  </si>
  <si>
    <t>Finnairilta tieto, kg / lento</t>
  </si>
  <si>
    <t>kgCO2 /kg</t>
  </si>
  <si>
    <t>Kerosiini</t>
  </si>
  <si>
    <t>Diesel</t>
  </si>
  <si>
    <t>***** Konetyypit: kotimaa ATR 72-500, lyhyt ulkomaanlento A321-211, Kaukolento A 330-300</t>
  </si>
  <si>
    <t>tai per kg dieseliä</t>
  </si>
  <si>
    <t>Bensa, 5 % etanoli vol.</t>
  </si>
  <si>
    <t>CO2 kg / l</t>
  </si>
  <si>
    <t>Kulutus, litraa</t>
  </si>
  <si>
    <t>Polttoaineen pästökerroin, t co2 ekv / t  Tilastokeskus 2019</t>
  </si>
  <si>
    <t>Tiheys</t>
  </si>
  <si>
    <t>OLETUS kulutusPolttoainetta kg/km</t>
  </si>
  <si>
    <t>tiheys</t>
  </si>
  <si>
    <t>Kuljetusten suorat kasvihuonekaasupäästöt</t>
  </si>
  <si>
    <t>Polttoaineiden valmistuksesta aiheutuneet kasvihuonekaasupäästöt</t>
  </si>
  <si>
    <t>Kotimaanlennot (a) &lt; 1000 km</t>
  </si>
  <si>
    <t>Lyhyet ulkomaanlennot (b) n. 2000km</t>
  </si>
  <si>
    <t>Kaukolennot (c) &lt; 5000 km</t>
  </si>
  <si>
    <t>litrakohtainen päästö tsekkaus</t>
  </si>
  <si>
    <t>kg/kg rpö valmistus</t>
  </si>
  <si>
    <t>* Maantieajoa</t>
  </si>
  <si>
    <t>Päästö / ajo</t>
  </si>
  <si>
    <t>ajonkm rahdilla</t>
  </si>
  <si>
    <t>Päästö CO2 g/ ajo</t>
  </si>
  <si>
    <t>polttoaine kg/tkm</t>
  </si>
  <si>
    <t xml:space="preserve">Biojäte kompostiin  </t>
  </si>
  <si>
    <t>Polttoaineiden valmistus:</t>
  </si>
  <si>
    <t>Bensiini (e5)</t>
  </si>
  <si>
    <t>Eurooppa</t>
  </si>
  <si>
    <r>
      <t xml:space="preserve">EcoInvent </t>
    </r>
    <r>
      <rPr>
        <vertAlign val="superscript"/>
        <sz val="11"/>
        <rFont val="Calibri"/>
        <family val="2"/>
      </rPr>
      <t>8</t>
    </r>
  </si>
  <si>
    <r>
      <t xml:space="preserve">Tilastokeskus </t>
    </r>
    <r>
      <rPr>
        <vertAlign val="superscript"/>
        <sz val="11"/>
        <rFont val="Calibri"/>
        <family val="2"/>
      </rPr>
      <t>9</t>
    </r>
  </si>
  <si>
    <t>Kierrätettävät:</t>
  </si>
  <si>
    <t>kg polttoainetta / ajo (km ja kuormaperusteella)</t>
  </si>
  <si>
    <r>
      <t>3</t>
    </r>
    <r>
      <rPr>
        <sz val="8"/>
        <rFont val="Arial"/>
        <family val="2"/>
      </rPr>
      <t>Seppälä et al. 2009. Suomen kansantalouden materiaalivirtojen ympäristövaikutusten arviointi ENVIMAT-mallilla, Liite 8</t>
    </r>
  </si>
  <si>
    <r>
      <t>4</t>
    </r>
    <r>
      <rPr>
        <sz val="8"/>
        <rFont val="Arial"/>
        <family val="2"/>
      </rPr>
      <t xml:space="preserve"> Tilastokeskus. 2019. Polttoaineluokitus 2019. https://www.stat.fi/tup/khkinv/khkaasut_polttoaineluokitus.html </t>
    </r>
  </si>
  <si>
    <r>
      <t xml:space="preserve">5 </t>
    </r>
    <r>
      <rPr>
        <sz val="8"/>
        <rFont val="Arial"/>
        <family val="2"/>
      </rPr>
      <t>VTT. 2006. Dityppioksidin ja metaanin päästökertoimia Suomen voimalaitoksille, lämpökeskuksille ja pienpoltolle. Saatavissa: http://www.vtt.fi/inf/pdf/workingpapers/2006/W43.pdf</t>
    </r>
  </si>
  <si>
    <r>
      <t xml:space="preserve">6 </t>
    </r>
    <r>
      <rPr>
        <sz val="8"/>
        <rFont val="Arial"/>
        <family val="2"/>
      </rPr>
      <t>Suomen ympäristökeskus. 2019. Suomen sähkönhankinnan päästöt elinkaarilaskelmissa. https://www.ymparisto.fi/fi-FI/Kulutus_ja_tuotanto/Resurssitehokkuus/Elinkaariajattelu/Sahkonhankinnan_paastot</t>
    </r>
  </si>
  <si>
    <r>
      <t>7</t>
    </r>
    <r>
      <rPr>
        <sz val="8"/>
        <rFont val="Arial"/>
        <family val="2"/>
      </rPr>
      <t xml:space="preserve"> IPCC 2014. Annex III: Technology-specific cost and performance parameters. In: Climate Change 2014: Mitigation of Climate Change. https://www.ipcc.ch/site/assets/uploads/2018/02/ipcc_wg3_ar5_annex-iii.pdf</t>
    </r>
  </si>
  <si>
    <r>
      <rPr>
        <vertAlign val="superscript"/>
        <sz val="8"/>
        <rFont val="Arial"/>
        <family val="2"/>
      </rPr>
      <t>9</t>
    </r>
    <r>
      <rPr>
        <sz val="8"/>
        <rFont val="Arial"/>
        <family val="2"/>
      </rPr>
      <t xml:space="preserve"> Tilastokeskus 2019, Polttoaineluokitus, päivitetty 14.2.2019 https://www.stat.fi/tup/khkinv/khkaasut_polttoaineluokitus.html </t>
    </r>
  </si>
  <si>
    <r>
      <t>1</t>
    </r>
    <r>
      <rPr>
        <sz val="8"/>
        <color indexed="10"/>
        <rFont val="Arial"/>
        <family val="2"/>
      </rPr>
      <t xml:space="preserve"> VTT. 2010. LIPASTO. Liikenteen päästöt. Saatavissa: http://lipasto.vtt.fi/</t>
    </r>
  </si>
  <si>
    <r>
      <t xml:space="preserve">2 </t>
    </r>
    <r>
      <rPr>
        <sz val="8"/>
        <color indexed="10"/>
        <rFont val="Arial"/>
        <family val="2"/>
      </rPr>
      <t>Seppälä et al. 2009. Suomen kansantalouden materiaalivirtojen ympäristövaikutusten arviointi ENVIMAT-mallilla, Liite 8</t>
    </r>
  </si>
  <si>
    <r>
      <t>3</t>
    </r>
    <r>
      <rPr>
        <sz val="8"/>
        <color indexed="10"/>
        <rFont val="Arial"/>
        <family val="2"/>
      </rPr>
      <t xml:space="preserve"> Tilastokeskus. 2011. Polttoaineluokitus 2011. </t>
    </r>
  </si>
  <si>
    <r>
      <t xml:space="preserve">4 </t>
    </r>
    <r>
      <rPr>
        <sz val="8"/>
        <color indexed="10"/>
        <rFont val="Arial"/>
        <family val="2"/>
      </rPr>
      <t>VTT. 2006. Dityppioksidin ja metaanin päästökertoimia Suomen voimalaitoksille, lämpökeskuk-</t>
    </r>
  </si>
  <si>
    <r>
      <t xml:space="preserve">5 </t>
    </r>
    <r>
      <rPr>
        <sz val="8"/>
        <color indexed="10"/>
        <rFont val="Arial"/>
        <family val="2"/>
      </rPr>
      <t>Suomen ympäristökeskus. 2011. Suomen sähkönhankinnan päästöt elinkaarilaskelmissa.</t>
    </r>
  </si>
  <si>
    <r>
      <t>6</t>
    </r>
    <r>
      <rPr>
        <sz val="8"/>
        <color indexed="10"/>
        <rFont val="Arial"/>
        <family val="2"/>
      </rPr>
      <t xml:space="preserve"> Kaupunginjohtajien yleiskokous, Tekninen liite SEAP-lomakkeen täyttöohjeisiin, Päästökertoimet, http://www.eumayors.eu/IMG/pdf/technical_annex_fi.pdf</t>
    </r>
  </si>
  <si>
    <r>
      <t>7</t>
    </r>
    <r>
      <rPr>
        <sz val="8"/>
        <color indexed="10"/>
        <rFont val="Arial"/>
        <family val="2"/>
      </rPr>
      <t xml:space="preserve"> Myllymaa et al. 2008. Jätteiden kierrätyksen ja polton käsittelyketjujen ympäristökuormitus ja kustannukset. S. 26 ja 61. </t>
    </r>
  </si>
  <si>
    <r>
      <t># maantieajo 65 % ja katuajo 35 %, keskimääräinen v. 2009 CO</t>
    </r>
    <r>
      <rPr>
        <vertAlign val="subscript"/>
        <sz val="10"/>
        <color indexed="10"/>
        <rFont val="Arial"/>
        <family val="2"/>
      </rPr>
      <t>2</t>
    </r>
    <r>
      <rPr>
        <sz val="10"/>
        <color indexed="10"/>
        <rFont val="Arial"/>
        <family val="2"/>
      </rPr>
      <t>ekv arvo</t>
    </r>
  </si>
  <si>
    <r>
      <t>## Kaupunkilinja-auto, 18 matkustajaa, keskimääräinen v. 2009 CO</t>
    </r>
    <r>
      <rPr>
        <vertAlign val="subscript"/>
        <sz val="10"/>
        <color indexed="10"/>
        <rFont val="Arial"/>
        <family val="2"/>
      </rPr>
      <t>2</t>
    </r>
    <r>
      <rPr>
        <sz val="10"/>
        <color indexed="10"/>
        <rFont val="Arial"/>
        <family val="2"/>
      </rPr>
      <t>ekv arvo</t>
    </r>
  </si>
  <si>
    <r>
      <t xml:space="preserve">Jätteen kuljetus </t>
    </r>
    <r>
      <rPr>
        <sz val="10"/>
        <rFont val="Arial"/>
        <family val="2"/>
      </rPr>
      <t>*</t>
    </r>
  </si>
  <si>
    <t>Paperi = treatment of waste paper, unsorted, sorting | waste paper, sorted | Cutoff, U |RER</t>
  </si>
  <si>
    <t>Patterit / Akut = treatment of used Li-ion battery, hydrometallurgical treatment | used Li-ion battery | Cutoff, U, GLO</t>
  </si>
  <si>
    <t>Muovijätteet</t>
  </si>
  <si>
    <t>Purkupuu</t>
  </si>
  <si>
    <t>Kyllästetty puu</t>
  </si>
  <si>
    <t>Jätepelletit</t>
  </si>
  <si>
    <t>Kumijätteet</t>
  </si>
  <si>
    <t>Yhdyskuntajäte/sekajäte</t>
  </si>
  <si>
    <t>Muut sekapolttoaineet</t>
  </si>
  <si>
    <t>Vaarallinen jäte</t>
  </si>
  <si>
    <t xml:space="preserve">Muut jätteet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</si>
  <si>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Ecoinven 3.5 tietokantaprosesseja, Prosessit lähdelistan alla. #</t>
    </r>
  </si>
  <si>
    <t>Muovijätteet = treatment of waste polyethylene, for recycling, unsorted, sorting | waste polyethylene, for recycling, sorted | Cutoff, U, RER.</t>
  </si>
  <si>
    <t>Raskas polttoöljy *</t>
  </si>
  <si>
    <t xml:space="preserve">* Rikkipitoisuus vähintään tai alle 1 %. Jos rikkipit. &lt;1 %, päästökerroin 0,0792,  jos enintään 0,5 % on päästökerroin 0,077, ja jos &gt;0,1 %, päästökerroin 0,0761
</t>
  </si>
  <si>
    <t>** Keskimäärin 0,1026. jyrsinturve 0,1076, palaturve 0,1032 turvepelletit- ja briketit 0,097</t>
  </si>
  <si>
    <t>*** Keskimääräinen arvo biopolttoaineille.</t>
  </si>
  <si>
    <t>Turve **</t>
  </si>
  <si>
    <r>
      <t xml:space="preserve">Puuperäiset 
polttoaineet </t>
    </r>
    <r>
      <rPr>
        <b/>
        <sz val="10"/>
        <color indexed="10"/>
        <rFont val="Arial"/>
        <family val="2"/>
      </rPr>
      <t xml:space="preserve">BIO </t>
    </r>
    <r>
      <rPr>
        <b/>
        <sz val="10"/>
        <rFont val="Arial"/>
        <family val="2"/>
      </rPr>
      <t>***</t>
    </r>
  </si>
  <si>
    <t>Metalli = sorting and pressing of iron scrap | iron scrap, sorted, pressed | Cutoff, U RER</t>
  </si>
  <si>
    <t xml:space="preserve">Kartonki ja pahvi = treatment of waste paperboard, unsorted, sorting | waste paperboard, sorted | Cutoff, S, CH, </t>
  </si>
  <si>
    <t>Lasi = treatment of waste glass from unsorted public collection, sorting | glass cullet, sorted | Cutoff, U, RER</t>
  </si>
  <si>
    <t># Open LCA v.1.8.0, Ecoinvent 3.5 tietokanta kesältä 2019, ReCiPe Hierachist midpoint 2016, allocation: none. Prosessit käsittävät kierrätyksen aiheuttamat päästöt, ei uuden tekemistä, esimerkiksi metallin sulattamista, koska se on uuden tuotteen vaatima päästö, ei vanhan kierrättämisen päästö.</t>
  </si>
  <si>
    <t>Biojäte kaasutetuksi = treatment of biowaste by anaerobic digestion | biowaste | Cutoff, U, CH</t>
  </si>
  <si>
    <t>Biojäte kompostiin = treatment of biowaste, industrial composting | biowaste | Cutoff, U, CH</t>
  </si>
  <si>
    <r>
      <t xml:space="preserve">Kaukolämpö </t>
    </r>
    <r>
      <rPr>
        <b/>
        <vertAlign val="superscript"/>
        <sz val="10"/>
        <rFont val="Arial"/>
        <family val="2"/>
      </rPr>
      <t>2 ja 4</t>
    </r>
  </si>
  <si>
    <r>
      <t xml:space="preserve">Kaukolämpö </t>
    </r>
    <r>
      <rPr>
        <b/>
        <vertAlign val="superscript"/>
        <sz val="10"/>
        <rFont val="Arial"/>
        <family val="2"/>
      </rPr>
      <t>4</t>
    </r>
  </si>
  <si>
    <r>
      <t>kg CO</t>
    </r>
    <r>
      <rPr>
        <vertAlign val="subscript"/>
        <sz val="10"/>
        <color indexed="57"/>
        <rFont val="Arial"/>
        <family val="2"/>
      </rPr>
      <t>2</t>
    </r>
  </si>
  <si>
    <r>
      <t>kg CH</t>
    </r>
    <r>
      <rPr>
        <vertAlign val="subscript"/>
        <sz val="10"/>
        <color indexed="57"/>
        <rFont val="Arial"/>
        <family val="2"/>
      </rPr>
      <t>4</t>
    </r>
  </si>
  <si>
    <r>
      <t>kg N</t>
    </r>
    <r>
      <rPr>
        <vertAlign val="subscript"/>
        <sz val="10"/>
        <color indexed="57"/>
        <rFont val="Arial"/>
        <family val="2"/>
      </rPr>
      <t>2</t>
    </r>
    <r>
      <rPr>
        <sz val="10"/>
        <color indexed="57"/>
        <rFont val="Arial"/>
        <family val="2"/>
      </rPr>
      <t>O</t>
    </r>
  </si>
  <si>
    <r>
      <t>kg CO</t>
    </r>
    <r>
      <rPr>
        <vertAlign val="subscript"/>
        <sz val="10"/>
        <color indexed="57"/>
        <rFont val="Arial"/>
        <family val="2"/>
      </rPr>
      <t>2</t>
    </r>
    <r>
      <rPr>
        <sz val="10"/>
        <color indexed="57"/>
        <rFont val="Arial"/>
        <family val="2"/>
      </rPr>
      <t>ekv</t>
    </r>
  </si>
  <si>
    <t>Välisumma</t>
  </si>
  <si>
    <r>
      <t>kg CO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ekv</t>
    </r>
  </si>
  <si>
    <r>
      <t>Hiilineutraalien polttoaineiden aiheuttama CO</t>
    </r>
    <r>
      <rPr>
        <vertAlign val="subscript"/>
        <sz val="11"/>
        <rFont val="Arial"/>
        <family val="2"/>
      </rPr>
      <t xml:space="preserve">2 </t>
    </r>
    <r>
      <rPr>
        <sz val="11"/>
        <rFont val="Arial"/>
        <family val="2"/>
      </rPr>
      <t>päästö ( ei laskennallinen päästö)</t>
    </r>
  </si>
  <si>
    <r>
      <t>*** maantieajo 73 % ja katuajo 27 %, keskimääräinen v. 2016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ekv. arvo.  </t>
    </r>
  </si>
  <si>
    <r>
      <t>***** Kaupunkibussi, 18 matkustajaa, keskimääräinen v. 2016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ekv arvo</t>
    </r>
  </si>
  <si>
    <t>Raskas polttoöljy, l</t>
  </si>
  <si>
    <t>Maantiekuljetuksen suorat päästöt</t>
  </si>
  <si>
    <t>suora päästö, kg CO2 ekv / l diesel</t>
  </si>
  <si>
    <t>keskimäärin v. 2017</t>
  </si>
  <si>
    <t>Merikuljetuksen suorat päästöt</t>
  </si>
  <si>
    <t>Rautatiekuljetuksen suorat päästöt</t>
  </si>
  <si>
    <t>Lentorahdin suorat päästöt</t>
  </si>
  <si>
    <t xml:space="preserve">3) Ecoinvent 3.5 tietokantatietoja polttoaineiden valmistuksille, OpenLCA, 1.8, ReCiPe 2016 midpoint H, no alloc. </t>
  </si>
  <si>
    <r>
      <t>8</t>
    </r>
    <r>
      <rPr>
        <sz val="8"/>
        <rFont val="Arial"/>
        <family val="2"/>
      </rPr>
      <t xml:space="preserve"> Ecoinvent tietokanta, versio 3.5, jätteenkäsittelyprosessit, prosessit kyseisellä välilehdellä nähtävissä</t>
    </r>
  </si>
  <si>
    <t>Tavarakuljetukset:</t>
  </si>
  <si>
    <t>Lyhyet ulkomaanlentorahdit *** c</t>
  </si>
  <si>
    <t>Kaukolentorahdit *** d</t>
  </si>
  <si>
    <t>Kotimaanlentorahdit *** b</t>
  </si>
  <si>
    <t>HCV-yhdistelmä, (76/51 t)</t>
  </si>
  <si>
    <t>Perävaunullinen yhdistelmä (60/40 t) *</t>
  </si>
  <si>
    <t>Puoliperävaunuyhdistelmät (40/25 t) *</t>
  </si>
  <si>
    <t>Kulkuneuvo (yhdistelmän enimmäismassa/ enimmäisrahti, tonnia)</t>
  </si>
  <si>
    <t>Jakelukuorma-auto (15/9 t) *</t>
  </si>
  <si>
    <t>Jakelukuorma-auto (6/3.5 t) *</t>
  </si>
  <si>
    <t>Pakettiauto * (1.2 t)</t>
  </si>
  <si>
    <t>*** Potkuriturbiini (ATR 72-500) väleille HKI - a) Jns,b) Oulu,</t>
  </si>
  <si>
    <t>** Suihkuturbiini c) Pariisi (A321-211)  ja d) Tokio (A350-300)</t>
  </si>
  <si>
    <t>**** Suihkuturbiini c) Pariisi (A321-211)  ja d) Tokio (A350-300)</t>
  </si>
  <si>
    <t>Henkilöautolla ajetut 
km:t (bensiini) #</t>
  </si>
  <si>
    <t>Kaukolämpö</t>
  </si>
  <si>
    <r>
      <t xml:space="preserve">Motiva </t>
    </r>
    <r>
      <rPr>
        <vertAlign val="superscript"/>
        <sz val="10"/>
        <rFont val="Arial"/>
        <family val="2"/>
      </rPr>
      <t>10</t>
    </r>
  </si>
  <si>
    <r>
      <t>BIO- merkityttyjä CO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 xml:space="preserve"> päästöjä ei sisällytetä päästölaskentaan, mutta CH</t>
    </r>
    <r>
      <rPr>
        <b/>
        <vertAlign val="subscript"/>
        <sz val="10"/>
        <color indexed="10"/>
        <rFont val="Arial"/>
        <family val="2"/>
      </rPr>
      <t xml:space="preserve">4 </t>
    </r>
    <r>
      <rPr>
        <b/>
        <sz val="10"/>
        <color indexed="10"/>
        <rFont val="Arial"/>
        <family val="2"/>
      </rPr>
      <t>ja N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O lasketaan</t>
    </r>
  </si>
  <si>
    <t>HUOM! Lämmöntuotantoon käytettyjen uusiutuvien BIO - merkittyjen polttoaineiden hiilidioksidia ei huomioida mukaan varsinaiseen hiilijalanjälkeen, vaan pelkästään metaani ja dityppioksidi</t>
  </si>
  <si>
    <r>
      <t>kg CO</t>
    </r>
    <r>
      <rPr>
        <vertAlign val="subscript"/>
        <sz val="11"/>
        <rFont val="Arial"/>
        <family val="2"/>
      </rPr>
      <t>2</t>
    </r>
  </si>
  <si>
    <t>Polttoon päätyvät jätteet:</t>
  </si>
  <si>
    <t>Tiedon maantieteellinen edustavuus:</t>
  </si>
  <si>
    <t>Välilehdellä Hiilijalanjälki, laskuri kokoaa yhteen sen, mitä muille välilehdille täytetään.</t>
  </si>
  <si>
    <r>
      <t xml:space="preserve">Työkalun on luonut </t>
    </r>
    <r>
      <rPr>
        <b/>
        <sz val="10"/>
        <color indexed="63"/>
        <rFont val="Arial"/>
        <family val="2"/>
      </rPr>
      <t>Anniina Kontiokorpi</t>
    </r>
    <r>
      <rPr>
        <sz val="10"/>
        <color indexed="63"/>
        <rFont val="Arial"/>
        <family val="2"/>
      </rPr>
      <t xml:space="preserve"> osana diplomityötään ”Energia- ja ilmastotoimenpiteiden käynnistäminen pk-yrityksissä”. Työ teetettiin Suomen ympäristökeskuksen Kohti hiilineutraalia kuntaa -hankkeeseen (HINKU).</t>
    </r>
  </si>
  <si>
    <t>Laskuri on jaettu eri välilehdille päästölähteittäin. Kussakin on ohje välilehden täyttämiseksi.</t>
  </si>
  <si>
    <r>
      <t>Yhteensä, kg CO</t>
    </r>
    <r>
      <rPr>
        <b/>
        <vertAlign val="subscript"/>
        <sz val="10"/>
        <rFont val="Arial"/>
        <family val="2"/>
      </rPr>
      <t>2-</t>
    </r>
    <r>
      <rPr>
        <b/>
        <sz val="10"/>
        <rFont val="Arial"/>
        <family val="2"/>
      </rPr>
      <t>ekv.</t>
    </r>
    <r>
      <rPr>
        <b/>
        <vertAlign val="superscript"/>
        <sz val="10"/>
        <rFont val="Arial"/>
        <family val="2"/>
      </rPr>
      <t>2</t>
    </r>
  </si>
  <si>
    <r>
      <t>Kierrätettävät (lajittelemasi) jätteet</t>
    </r>
    <r>
      <rPr>
        <b/>
        <vertAlign val="superscript"/>
        <sz val="10"/>
        <rFont val="Arial"/>
        <family val="2"/>
      </rPr>
      <t xml:space="preserve"> 1</t>
    </r>
    <r>
      <rPr>
        <b/>
        <sz val="10"/>
        <rFont val="Arial"/>
        <family val="2"/>
      </rPr>
      <t xml:space="preserve"> :</t>
    </r>
  </si>
  <si>
    <r>
      <t xml:space="preserve">Polttoon päätyvät jätteet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:</t>
    </r>
  </si>
  <si>
    <t>Voit käyttää sekä ajettuja kilometrejä että kulutuslitroja.</t>
  </si>
  <si>
    <t>HUOM. Laskuri laskee kulutus- ja kilometriperusteiset ajopäästöt yhteen.</t>
  </si>
  <si>
    <t>Kilometrit ja kuorman koko vaikuttavat polttoaineen kulutukseen ja siten myös päästöihin.</t>
  </si>
  <si>
    <t xml:space="preserve">Niistä muodostuvia päästöjä kuitenkin seurataan erillään omina virtoinaan. </t>
  </si>
  <si>
    <t>Valitse alle sähkötyyppi</t>
  </si>
  <si>
    <t>TERVETULOA KÄYTTÄMÄÄN Y-HIILARIA</t>
  </si>
  <si>
    <r>
      <t xml:space="preserve">Y-HIILARI on </t>
    </r>
    <r>
      <rPr>
        <b/>
        <sz val="10"/>
        <color rgb="FF333333"/>
        <rFont val="Arial"/>
        <family val="2"/>
      </rPr>
      <t>Suomen ympäristökeskuksen (SYKE)</t>
    </r>
    <r>
      <rPr>
        <sz val="10"/>
        <color rgb="FF333333"/>
        <rFont val="Arial"/>
        <family val="2"/>
      </rPr>
      <t xml:space="preserve"> kehittämä työkalu yrityksen hiilijalanjäljen laskentaan. </t>
    </r>
  </si>
  <si>
    <r>
      <t>kg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-ekv.</t>
    </r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</si>
  <si>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-ekv. (g/ ajon km) </t>
    </r>
    <r>
      <rPr>
        <b/>
        <vertAlign val="superscript"/>
        <sz val="10"/>
        <rFont val="Arial"/>
        <family val="2"/>
      </rPr>
      <t>1</t>
    </r>
  </si>
  <si>
    <t xml:space="preserve">Yht. kg CO2-ekv. </t>
  </si>
  <si>
    <t xml:space="preserve">Suora päästö dieselin kulutuksesta, kg CO2-ekv. </t>
  </si>
  <si>
    <r>
      <t>Polttoaineen valmistus annetuilla tiedoilla,  kg CO2-ekv.</t>
    </r>
    <r>
      <rPr>
        <b/>
        <vertAlign val="superscript"/>
        <sz val="10"/>
        <rFont val="Arial"/>
        <family val="2"/>
      </rPr>
      <t>3</t>
    </r>
  </si>
  <si>
    <t xml:space="preserve">Yht. kg CO2-ekv.  </t>
  </si>
  <si>
    <t>CO2-ekv. (kg/tkm)</t>
  </si>
  <si>
    <t xml:space="preserve">CO2-ekv. (kg/tkm) </t>
  </si>
  <si>
    <t>* Arvioitu puoliperävaunuyhdistelmänä, katuajossa ja 70 % (17,5 t) kuormalla.</t>
  </si>
  <si>
    <t>Kertoimia nähtäville</t>
  </si>
  <si>
    <t>VÄLTÄ KAKSOISLASKENTAA &gt;&gt;&gt; Laskuri laskee kulutus- ja kilometriperusteiset ajopäästöt yhteen.</t>
  </si>
  <si>
    <t>Käytetyt oletukset: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</si>
  <si>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-ekv. (g/hkm) </t>
    </r>
    <r>
      <rPr>
        <b/>
        <vertAlign val="superscript"/>
        <sz val="10"/>
        <rFont val="Arial"/>
        <family val="2"/>
      </rPr>
      <t>1</t>
    </r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</si>
  <si>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-ekv. (g/km) </t>
    </r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</si>
  <si>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-ekv. (g/hkm) </t>
    </r>
  </si>
  <si>
    <r>
      <t>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0"/>
        <rFont val="Arial"/>
        <family val="2"/>
      </rPr>
      <t xml:space="preserve">-ekv. kg/€ </t>
    </r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</si>
  <si>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-ekv. (kg)</t>
    </r>
  </si>
  <si>
    <r>
      <t xml:space="preserve">Polttoaineen valmistamisen aiheuttama päästö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,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-ekv. (g) </t>
    </r>
  </si>
  <si>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 https://www.motiva.fi/ratkaisut/energiankaytto_suomessa/co2-laskentaohje_energiankulutuksen_hiilidioksidipaastojen_laskentaan/co2-paastokertoimet, Vierailtu 4.11.2019 </t>
    </r>
  </si>
  <si>
    <r>
      <t># maantieajo 65 % ja katuajo 35 %, keskimääräinen v. 2016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ekv arvo</t>
    </r>
  </si>
  <si>
    <r>
      <t>## Kaupunkilinja-auto, 18 matkustajaa, keskimääräinen v. 2016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ekv arvo</t>
    </r>
  </si>
  <si>
    <r>
      <t>#### Taajama ja katuajo. Keskimääräinen v. 2016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-ekv arvo</t>
    </r>
  </si>
  <si>
    <t>Kiinteistö 1</t>
  </si>
  <si>
    <t>Kiinteistö 2</t>
  </si>
  <si>
    <t>YHTEENSÄ</t>
  </si>
  <si>
    <t>BION2OjaCH4 mukana</t>
  </si>
  <si>
    <t xml:space="preserve">Ajosta aiheutuva suora päästö, Yht. kg CO2-ekv. </t>
  </si>
  <si>
    <t>KULUTUSPERUSTEINEN OSA - Käytä tätä, jos tiedät kulutustiedot</t>
  </si>
  <si>
    <r>
      <rPr>
        <b/>
        <sz val="10"/>
        <color rgb="FFFF0000"/>
        <rFont val="Arial"/>
        <family val="2"/>
      </rPr>
      <t>Kaavio summaa</t>
    </r>
    <r>
      <rPr>
        <b/>
        <sz val="10"/>
        <color rgb="FF00B0F0"/>
        <rFont val="Arial"/>
        <family val="2"/>
      </rPr>
      <t xml:space="preserve"> tonni*kilometriperusteiset ja litrakohtaiseen kulutukseen perustuvat päästöt. </t>
    </r>
  </si>
  <si>
    <t>KERTOIMIA NÄHTÄVÄKSI KÄYTTÄJÄLLE</t>
  </si>
  <si>
    <t xml:space="preserve">Kaukolämpö </t>
  </si>
  <si>
    <t xml:space="preserve">Raskas polttoöljy </t>
  </si>
  <si>
    <r>
      <t xml:space="preserve">Puuperäiset 
polttoaineet </t>
    </r>
    <r>
      <rPr>
        <b/>
        <sz val="10"/>
        <color indexed="10"/>
        <rFont val="Arial"/>
        <family val="2"/>
      </rPr>
      <t>BIO</t>
    </r>
  </si>
  <si>
    <t>Yhteyshenkilö laskuria koskien: Jaakko Karvonen, e-mail jaakko.karvonen@ymparisto.fi</t>
  </si>
  <si>
    <r>
      <t>Bio-polttoaineiden poltossa muodostuneen hiilidioksidin määrä (pelkkä CO</t>
    </r>
    <r>
      <rPr>
        <vertAlign val="subscript"/>
        <sz val="10"/>
        <color theme="6" tint="-0.249977111117893"/>
        <rFont val="Arial"/>
        <family val="2"/>
      </rPr>
      <t>2</t>
    </r>
    <r>
      <rPr>
        <sz val="10"/>
        <color theme="6" tint="-0.249977111117893"/>
        <rFont val="Arial"/>
        <family val="2"/>
      </rPr>
      <t>)</t>
    </r>
  </si>
  <si>
    <t xml:space="preserve">Vaihtoehtoisen polttoaineen valmistus annetuilla tiedoilla, kg CO2-ekv. </t>
  </si>
  <si>
    <t>Uusiutuva diesel</t>
  </si>
  <si>
    <t>E85</t>
  </si>
  <si>
    <t>Biokaasu</t>
  </si>
  <si>
    <t>Sähkö</t>
  </si>
  <si>
    <t>polttoaineen käyttö</t>
  </si>
  <si>
    <t>elinkaari</t>
  </si>
  <si>
    <t>polttoaineen käytön kulutus kerroin dieseliin</t>
  </si>
  <si>
    <t>% dieselin päästöistä</t>
  </si>
  <si>
    <t>TÄSSÄ VÄLILEHDESSÄ VOIT KÄYTTÄÄ SEKÄ TONNIKILOMETREJÄ ETTÄ DIESELIN KULUTUSTA PÄÄSTÖJEN LASKEMISEKSI</t>
  </si>
  <si>
    <t>G-sarake laskee polttoaineen valmistamisen aiheuttaman päästön.</t>
  </si>
  <si>
    <t>Jos eri kiinteistöissä on eri sähköä, voitte käyttää niille eri kertoimia.</t>
  </si>
  <si>
    <t>Sarake2 käyttökerroin</t>
  </si>
  <si>
    <t>Valintaruutu kertoimelle</t>
  </si>
  <si>
    <t>Saman kulutuksen päästöt vaihtoehtoisella polttoaineella:</t>
  </si>
  <si>
    <t>Valitse tästä vaihtoehtoinen polttoaine päästöjen vertailuun:</t>
  </si>
  <si>
    <t>Laskurin dieselin päästökertoimen vertailukerroin</t>
  </si>
  <si>
    <t>käyttö</t>
  </si>
  <si>
    <t>kulutus</t>
  </si>
  <si>
    <t>Päästöt vaihtoehtoisin polttoainein</t>
  </si>
  <si>
    <t xml:space="preserve">Suora päästö VE polttoaineen kulutuksesta, kg CO2-ekv. </t>
  </si>
  <si>
    <r>
      <t>Polttoaineen (diesel) valmistuksen päästö annetuilla tiedoilla,  kg CO2-ekv.</t>
    </r>
    <r>
      <rPr>
        <b/>
        <vertAlign val="superscript"/>
        <sz val="10"/>
        <rFont val="Arial"/>
        <family val="2"/>
      </rPr>
      <t>3</t>
    </r>
  </si>
  <si>
    <t>VE-Polttoaineen valmistus ja käyttö</t>
  </si>
  <si>
    <t>Päästöt polttoaineiden valmistuksesta</t>
  </si>
  <si>
    <t>Vähennys %</t>
  </si>
  <si>
    <t>VE-Polttoaineella saatavat luvut</t>
  </si>
  <si>
    <r>
      <t xml:space="preserve">Kuljetuslaskurissa on myös mukana </t>
    </r>
    <r>
      <rPr>
        <b/>
        <sz val="10"/>
        <color rgb="FF00B050"/>
        <rFont val="Arial"/>
        <family val="2"/>
      </rPr>
      <t>vaihtoehtoisen polttoaineen laskuri</t>
    </r>
    <r>
      <rPr>
        <sz val="10"/>
        <rFont val="Arial"/>
        <family val="2"/>
      </rPr>
      <t xml:space="preserve">, jota voidaan käyttää päästöjen vertailuun eri polttoaineilla ja myös sähköllä. Laskuri ottaa huomioon myös vaihtoehtoisen polttoaineen kulutuksen erot verrattuna dieseliin. </t>
    </r>
  </si>
  <si>
    <t>Tekninen realismi: Vaihtoehtoisista energianlähteistä sähkö ja E85 (korkea etanolipitoisuus) voivat soveltua paketti- ja kuorma-autokuljetuksiin, näitä raskaaammissa ajoneuvoyhdistelmissä soveltuvuus on huonompaa.</t>
  </si>
  <si>
    <t>valmistus</t>
  </si>
  <si>
    <t>Sarake2 valmistuksen päästökerroin</t>
  </si>
  <si>
    <t>Dieseliin vertailtujen kertoimien laskeminen ja lähteet</t>
  </si>
  <si>
    <t>Vaihtoehtoisten polttoaineiden kulutus- ja päästökertoimet verrattuna dieseliin</t>
  </si>
  <si>
    <t>Käytetyt päästö- ja kulutuskertoimet</t>
  </si>
  <si>
    <t>Polttoaineen käyttö ja valmistus</t>
  </si>
  <si>
    <t>Käyttö</t>
  </si>
  <si>
    <t>Valmistus</t>
  </si>
  <si>
    <t>Kulutus</t>
  </si>
  <si>
    <t>kg CO2e/l</t>
  </si>
  <si>
    <t xml:space="preserve">Suhteessa Dieseliin </t>
  </si>
  <si>
    <t>Valmistuksen päästö</t>
  </si>
  <si>
    <t>Valmistuksen dieselekvivalenttipäästö per l</t>
  </si>
  <si>
    <t>per kg</t>
  </si>
  <si>
    <t>Polttoaineen käyttö</t>
  </si>
  <si>
    <t>SFS-EN 16258</t>
  </si>
  <si>
    <t>kg CO2e/kg</t>
  </si>
  <si>
    <t>Polttoaineen valmistus</t>
  </si>
  <si>
    <t>kg CO2e/kWh</t>
  </si>
  <si>
    <t>Polttoaineen lämpöarvo</t>
  </si>
  <si>
    <t>MJ/kg</t>
  </si>
  <si>
    <t>MJ/l</t>
  </si>
  <si>
    <t>40-90 % pienemmät päästöt, eli ka. 65 % vähemmän, jolloin kerroin 0,35</t>
  </si>
  <si>
    <t>"90 % pienemmät elinkaaren aikaiset päästöt Neste MY uusiutuvalla dieselillä". Neste-internet sivut. https://www.neste.com/fi/puhtaammat-ratkaisut/tuotteet/uusiutuvat-polttoaineet/neste-my-uusiutuva-diesel/pienemmat-paastot. 4.5.2020.</t>
  </si>
  <si>
    <t>Nuottimäki, J. 2015. NEXBTL:n käyttö varavoimalähteenä. Polttomoottori- ja turboteknologian seminaari. Neste Oil.</t>
  </si>
  <si>
    <t>Etanoli</t>
  </si>
  <si>
    <t>Bensiini</t>
  </si>
  <si>
    <t>Biokaasu biojätteestä (Sveitsi). Ecoinvent Unit/System Processes.</t>
  </si>
  <si>
    <t>Biokaasu, metaani 95 %</t>
  </si>
  <si>
    <t>kg CO2e /kWh</t>
  </si>
  <si>
    <t>Keskimääräinen sähköntuotannon CO2-päästökerroin Suomessa laskettuna viiden vuoden liukuvana keskiarvona:</t>
  </si>
  <si>
    <t>(Lähde: Tilastokeskus, tilastovuosi 2017) (päivitetty 20.5.2019)</t>
  </si>
  <si>
    <t>https://www.motiva.fi/ratkaisut/energiankaytto_suomessa/co2-laskentaohje_energiankulutuksen_hiilidioksidipaastojen_laskentaan/co2-paastokertoimet</t>
  </si>
  <si>
    <t>VAIHTOEHTOISET KÄYTTÖVOIMAT</t>
  </si>
  <si>
    <t>Tietolähteen pohjana on EcoInvent 3.5 otettu dieselin valmistuksen päästöt.</t>
  </si>
  <si>
    <t xml:space="preserve">Päästöt muista polttoaineista käytön ja valmisutksen osilta käyttäen sekä kertoimia, joita on saatu laskemalla SFS-standardin (SFS-EN 16258) sisällä E85:n, bensiinin ja maakaasun lukuja samaisen standardin sisällä olevaan Dieselin tietoon. Eli, suhdekertoimet ovat otettu SFS-standardista, mutta luku, jota vasten niitä käytettään, on peräisin Ecoinventistä.  Polttoaineen käytö Biokaasulle tietokanta on Ecoinvent 3.5. Biodieselille lähteenä ovat Neste Oyj:n julkaisut, ja päästövähenemäkerroin on keskiarvo väliltä 40-90 %, eli 65 % </t>
  </si>
  <si>
    <t xml:space="preserve">Valitse tästä vaihtoehtoinen polttoaine </t>
  </si>
  <si>
    <t>Käyttö / l</t>
  </si>
  <si>
    <t>Käyttö / kg</t>
  </si>
  <si>
    <t>SFS-EN 16257</t>
  </si>
  <si>
    <t>SFS-EN 16259</t>
  </si>
  <si>
    <t>Diesel-ekv päästökerroin</t>
  </si>
  <si>
    <t>Oman sähköyhtiömme ilmoittama kerroin</t>
  </si>
  <si>
    <t>Oma päästökertoimeni &gt;&gt;&gt;&gt;</t>
  </si>
  <si>
    <t>Polttoaineen valmistus ja käyttö</t>
  </si>
  <si>
    <t>Neste-internet sivut. https://www.neste.com/fi/puhtaammat-ratkaisut/tuotteet/uusiutuvat-polttoaineet/neste-my-uusiutuva-diesel/pienemmat-paastot. 4.5.2020.</t>
  </si>
  <si>
    <t>Biokaasu biojätteestä, 95% CH4, (Sveitsi). Ecoinvent Unit/System Processes.</t>
  </si>
  <si>
    <t>Laskettu</t>
  </si>
  <si>
    <t>Käyttämämme uusiutuvan osuus %</t>
  </si>
  <si>
    <t>kg CO2e / litra diesel-ekv.</t>
  </si>
  <si>
    <t>Hyötysuhdevertailuksi Dieselmoottori 45 %, sähkömoottori 95 &gt;&gt; kerroin 2,1</t>
  </si>
  <si>
    <t>Summa</t>
  </si>
  <si>
    <t>SAAMME TIEDON KULJETUSYRITYKSELTÄMME --&gt;&gt;&gt;</t>
  </si>
  <si>
    <t>Mikäli saatte osan tai kaikki tämän osion tiedot, voitte kirjoittaa sen tähän</t>
  </si>
  <si>
    <t>Voit käyttää sekä määrällistä, että suhteellista VE-polttoaine laskuria HUOM: Tarkoitus on, että matka*rahti - sarakkeiden osal voit korvata dieselin osuuksia VE-polttoainein (rivit 11-16) ja suoria polttoainemääriä puolestaan voit syöttää rivien 19-24 soluihin.</t>
  </si>
  <si>
    <t>Kuljetuksesta x % kuljetaan uusiutuvalla dieselillä</t>
  </si>
  <si>
    <t>Kuljetuksen päästö annetulla bio-osuuden vaateella</t>
  </si>
  <si>
    <t xml:space="preserve">tkm yht. </t>
  </si>
  <si>
    <r>
      <t>Ajon suora päästö dieselillä, kg CO2-ekv.</t>
    </r>
    <r>
      <rPr>
        <b/>
        <vertAlign val="superscript"/>
        <sz val="10"/>
        <rFont val="Arial"/>
        <family val="2"/>
      </rPr>
      <t>2</t>
    </r>
  </si>
  <si>
    <t>Uusiutuvan käyttämisen jälkeinen päästö</t>
  </si>
  <si>
    <r>
      <t>Suora päästö ilman uusiutuvia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-ekv. (kg) </t>
    </r>
  </si>
  <si>
    <r>
      <t xml:space="preserve">Tavanomaisen polttoaineen (diesel, bensiini) valmistamisen aiheuttama päästö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,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-ekv. (g) </t>
    </r>
  </si>
  <si>
    <t>NÄISSÄ EI SIIS KULUTUSLISÄÄ TEHON MUKAISESTI LSÄTTYNÄ</t>
  </si>
  <si>
    <t>Uusiutuvalla dieselillä on 40-90 % pienemmät päästöt, eli ka. 65 % vähemmän, jolloin kerroin 0,35</t>
  </si>
  <si>
    <r>
      <t xml:space="preserve">4 </t>
    </r>
    <r>
      <rPr>
        <sz val="10"/>
        <rFont val="Arial"/>
        <family val="2"/>
      </rPr>
      <t>Motiva.fi. Sähkön päästökertoiemet, Suomen viiden vuoden liukuva keskiarvo julk. 5/2020. https://www.motiva.fi/ratkaisut/energiankaytto_suomessa/co2-laskentaohje_energiankulutuksen_hiilidioksidipaastojen_laskentaan/co2-paastokertoimet</t>
    </r>
  </si>
  <si>
    <t>Suomen ympäristökeskus. 2019. Suomen sähkönhankinnan päästöt elinkaarilaskelmissa. https://www.ymparisto.fi/fi-FI/Kulutus_ja_tuotanto/Resurssitehokkuus/Elinkaariajattelu/Sahkonhankinnan_paastot</t>
  </si>
  <si>
    <t>Pudotusvalikot    &gt;&gt;&gt;</t>
  </si>
  <si>
    <t>SCOPE 3</t>
  </si>
  <si>
    <t>SCOPE 2</t>
  </si>
  <si>
    <t>Sähköntuotannon jakauma</t>
  </si>
  <si>
    <t>Aurinkoenergia</t>
  </si>
  <si>
    <t>Uusiutuvat yhteensä</t>
  </si>
  <si>
    <t>Yht</t>
  </si>
  <si>
    <t>Fossiiliset</t>
  </si>
  <si>
    <t>Muu uusiutuva, polttolaitos (arvio 10 %</t>
  </si>
  <si>
    <t>Uusiutuvien jakauma kokonaissähköntuotannosta</t>
  </si>
  <si>
    <t>Epäsuorapäästö yleissähkössä, CO2 ekv</t>
  </si>
  <si>
    <t>(Lähde: Tilastokeskus, tilastovuosi 2018) (päivitetty 20.5.2020)</t>
  </si>
  <si>
    <t>Yleissähkön epäsuorien päästöjen laskentaperuste</t>
  </si>
  <si>
    <t>Valmistuksen dies.ekv.kerroin</t>
  </si>
  <si>
    <t>Käytön dies.ekv päästökerroin</t>
  </si>
  <si>
    <t>Suhteellinen kerroin</t>
  </si>
  <si>
    <t>Diesel-vertailukerroin, valmistus &amp; käyttö</t>
  </si>
  <si>
    <t>Suhteellinen kerroi</t>
  </si>
  <si>
    <t>Laskettu muualla</t>
  </si>
  <si>
    <t>Vaihtoehtoisen käyttövoiman käytöstä aiheutuva päästö, kg CO2-ekv</t>
  </si>
  <si>
    <t>Vaihtoehtoisen käyttövoiman valmistuksesta aiheutuva päästö, kg CO2-ekv</t>
  </si>
  <si>
    <t>Polttoaineiden valmistamisen päästöt yhteensä</t>
  </si>
  <si>
    <r>
      <t>kg CO</t>
    </r>
    <r>
      <rPr>
        <b/>
        <vertAlign val="subscript"/>
        <sz val="12"/>
        <rFont val="Arial"/>
        <family val="2"/>
      </rPr>
      <t>2-</t>
    </r>
    <r>
      <rPr>
        <b/>
        <sz val="12"/>
        <rFont val="Arial"/>
        <family val="2"/>
      </rPr>
      <t>ekv</t>
    </r>
  </si>
  <si>
    <t xml:space="preserve">Raaka-aineiden ja tuotteiden kuljetuksesta aiheutuneet suorat kasvihuonekaasupäästöt </t>
  </si>
  <si>
    <t xml:space="preserve">Raaka-aineiden ja tuotteiden kuljetuksesta aiheutuneet epäsuorat kasvihuonekaasupäästöt </t>
  </si>
  <si>
    <t>Päästöt, (huomioi vaihtoehtoisten määrät)</t>
  </si>
  <si>
    <t>JA / TAI vaihtoehtoiset polttoaineet</t>
  </si>
  <si>
    <t>Polttoaineen mukaan, uusiutuva diesel ja E85 litraa , kaasut kg, sähkö  kWh</t>
  </si>
  <si>
    <r>
      <t>Summa, kg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-ekv.</t>
    </r>
  </si>
  <si>
    <r>
      <t xml:space="preserve">Scope 2 </t>
    </r>
    <r>
      <rPr>
        <sz val="10"/>
        <rFont val="Arial"/>
        <family val="2"/>
      </rPr>
      <t>(Sähkö ja ostolämpö sähkönkulutuksesta)</t>
    </r>
  </si>
  <si>
    <r>
      <t xml:space="preserve">Scope 3 </t>
    </r>
    <r>
      <rPr>
        <sz val="10"/>
        <rFont val="Arial"/>
        <family val="2"/>
      </rPr>
      <t>(vapaaehtoinen rajaus, johon kuuluu liikematkustaminen, jätehuolto, kuljetukset)</t>
    </r>
  </si>
  <si>
    <t>TUOTAMME LÄMPÖMME ITSE?</t>
  </si>
  <si>
    <t>Valitse tästä</t>
  </si>
  <si>
    <t>Kyllä</t>
  </si>
  <si>
    <t>Emme</t>
  </si>
  <si>
    <t>Scope 1</t>
  </si>
  <si>
    <t>Vuotuinen fossiilisen lämpöenergian kulutuksen aiheuttama kasvihuonekaasupäästö Scope 1</t>
  </si>
  <si>
    <t>Vuotuinen fossiilisen lämpöenergian kulutuksen aiheuttama kasvihuonekaasupäästö Scope 2</t>
  </si>
  <si>
    <t>Scope 2</t>
  </si>
  <si>
    <t>GHG-protokollassa on tulkinnanvaraisuutta. Päätimme eritellä epäsuorat päästöt scope 3:een.</t>
  </si>
  <si>
    <r>
      <t>Hiilineutraalien lämmityspolttoaineiden aiheuttama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ja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-päästö Scope 1</t>
    </r>
  </si>
  <si>
    <r>
      <t>Hiilineutraalien lämmityspolttoaineiden aiheuttama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ja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-päästö Scope 2</t>
    </r>
  </si>
  <si>
    <t>kg CO2ekv</t>
  </si>
  <si>
    <t>Vapaaehtoinen - voit täyttää prosentit alle</t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</si>
  <si>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ekv</t>
    </r>
  </si>
  <si>
    <r>
      <t xml:space="preserve">TÄSSÄ VÄLILEHDESSÄ VOIT KÄYTTÄÄ SEKÄ </t>
    </r>
    <r>
      <rPr>
        <b/>
        <u/>
        <sz val="10"/>
        <rFont val="Arial"/>
        <family val="2"/>
      </rPr>
      <t>TONNIKILOMETREJÄ</t>
    </r>
    <r>
      <rPr>
        <b/>
        <sz val="10"/>
        <rFont val="Arial"/>
        <family val="2"/>
      </rPr>
      <t xml:space="preserve"> ETTÄ </t>
    </r>
    <r>
      <rPr>
        <b/>
        <u/>
        <sz val="10"/>
        <rFont val="Arial"/>
        <family val="2"/>
      </rPr>
      <t xml:space="preserve">POLTTOAINEIDEN KULUTUSTA </t>
    </r>
    <r>
      <rPr>
        <b/>
        <sz val="10"/>
        <rFont val="Arial"/>
        <family val="2"/>
      </rPr>
      <t>PÄÄSTÖJEN LASKEMISEKSI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</si>
  <si>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GWP100 arvot: IPCC. 2013. IPCC Fifth Assessment Report: Climate Change 2013, https://www.ipcc.ch/pdf/assessmentreport/ar5/wg1/WG1AR5_Chapter08_FINAL.pdf (p. 73-79) 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</si>
  <si>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IPCC 2014. Annex III: Technology-specific cost and performance parameters. In: Climate Change 2014: Mitigation of Climate Change. Sivulta 1335. https://www.ipcc.ch/site/assets/uploads/2018/02/ipcc_wg3_ar5_annex-iii.pdf</t>
    </r>
  </si>
  <si>
    <r>
      <t>kg CO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-ekv./Mwh</t>
    </r>
  </si>
  <si>
    <r>
      <t xml:space="preserve">CO2-ekv 
(kg/MWh) </t>
    </r>
    <r>
      <rPr>
        <b/>
        <vertAlign val="superscript"/>
        <sz val="10"/>
        <color rgb="FF333333"/>
        <rFont val="Arial"/>
        <family val="2"/>
      </rPr>
      <t>1 ja 3</t>
    </r>
  </si>
  <si>
    <t>Vuotuiset sähkönkulutuksen aiheuttamat suorat kasvihuonekaasupäästöt Scope 2</t>
  </si>
  <si>
    <t>Sähköntuotannon epäsuorat päästöt Scope 3</t>
  </si>
  <si>
    <t>Jätteiden käsittelystä (ei kuljetukset) aiheutuva kasvihuonekaasupäästö Scope 3</t>
  </si>
  <si>
    <t>Jätehuollon kuljetusten päästöt Scope 3</t>
  </si>
  <si>
    <t>Liikematkustamisesta aiheutuva kasvihuonekaasupäästö Scope 3</t>
  </si>
  <si>
    <t>Tuotteiden ja raaka-aineiden kuljetuksista aiheutuva kasvihuonekaasupäästö Scope 3</t>
  </si>
  <si>
    <t>Tuotteiden ja raaka-aineiden kuljetusten polttoaineiden valmistuksen kasvihuonekaasupäästöt Scope 3</t>
  </si>
  <si>
    <t>HUOM! Tuonti- ja vientisähköjen erotuksia tai eri päästökertoimia ei ole huomioitu, eikä Motivan luku sisällä tuontia.</t>
  </si>
  <si>
    <t xml:space="preserve">4 Kaukolämmön keskimääräinen päästö 2018. https://www.motiva.fi/ratkaisut/energiankaytto_suomessa/co2-laskentaohje_energiankulutuksen_hiilidioksidipaastojen_laskentaan/co2-paastokertoimet, Vierailtu 4.11.2019 </t>
  </si>
  <si>
    <t>Täytä alle, montako prosenttia lämpöenergiasta tuotatte itse:</t>
  </si>
  <si>
    <t>Mikäli tiedossanne on energiayhtiönne tarkka päästökerroin, voitte valita ko. sähkötyypin pudotusvalikosta ja kirjoittaa päästökertoimen soluun B6.</t>
  </si>
  <si>
    <t>Kuljetuslaskurissa on myös mukana vaihtoehtoisen polttoaineen laskuri, jota voidaan käyttää päästöjen vertailuun eri polttoaineilla ja myös sähköllä.</t>
  </si>
  <si>
    <t>Alla oleviin kohtiin voitte arvioida meri-, rautatie- ja ilmarahtinne päästöjä matkan ja rahdin mukaan. Vaihtoehtoista polttoainemahdollisuutta ei ole ulotettu näihin asti.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</si>
  <si>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Finnairin laskurilla (viitattu 11/2019), väleille  HKI - a) -Jns, b)-Oulu, c) -Pariisi ja d) -Tokio. https://www.finnair.com/fi/fi/emissions-calculator</t>
    </r>
  </si>
  <si>
    <t>2 Finnairin laskurista (viitattu 11/2019) RTK (revenue ton kilometer) luvut lennoille Helsingistä a) Ouluun b) Pariisiin, c) Tokioon https://www.finnair.com/fi/fi/emissions-calculator</t>
  </si>
  <si>
    <t>Voitte myös vaatia jäteurakoitsijaltanne uusiutuvan dieselin käyttöä.</t>
  </si>
  <si>
    <t>Uusiutuvan päästöt 35 % dieselin päästöistä</t>
  </si>
  <si>
    <t>Uusiutuvan polttoaineen osuus, %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</si>
  <si>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Finnairin laskurista (viitattu 11/2019) RTK (revenue ton kilometer) luvut lennoille Helsingistä a) Ouluun b) Pariisiin, c) Tokioon</t>
    </r>
  </si>
  <si>
    <t>Keskimääräinen sähköntuotannon CO2-päästökerroin Suomessa laskettuna kolmen vuoden (2016 - 2018) liukuvana keskiarvona.</t>
  </si>
  <si>
    <t>Yleissähkö (likuva keskiarvo 2016-2018) ja + epäsuorat päästöt Suomi, ei tuontia</t>
  </si>
  <si>
    <r>
      <t xml:space="preserve">Motiva </t>
    </r>
    <r>
      <rPr>
        <vertAlign val="superscript"/>
        <sz val="10"/>
        <rFont val="Arial"/>
        <family val="2"/>
      </rPr>
      <t xml:space="preserve">10 </t>
    </r>
    <r>
      <rPr>
        <sz val="10"/>
        <rFont val="Arial"/>
        <family val="2"/>
      </rPr>
      <t xml:space="preserve">+ Tilastokeskus </t>
    </r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+ Hieta 2010 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</t>
    </r>
  </si>
  <si>
    <r>
      <rPr>
        <vertAlign val="superscript"/>
        <sz val="8"/>
        <rFont val="Arial"/>
        <family val="2"/>
      </rPr>
      <t xml:space="preserve">11 </t>
    </r>
    <r>
      <rPr>
        <sz val="8"/>
        <rFont val="Arial"/>
        <family val="2"/>
      </rPr>
      <t>Tilastokeskus http://www.stat.fi/til/salatuo/2018/salatuo_2018_2019-11-01_tie_001_fi.html</t>
    </r>
  </si>
  <si>
    <r>
      <rPr>
        <vertAlign val="superscript"/>
        <sz val="8"/>
        <rFont val="Arial"/>
        <family val="2"/>
      </rPr>
      <t>12</t>
    </r>
    <r>
      <rPr>
        <sz val="8"/>
        <rFont val="Arial"/>
        <family val="2"/>
      </rPr>
      <t xml:space="preserve"> Hieta, A. 2010. Kaukolämmön hiilijalanjälki.Ammattikorkeakoulututkinnon opinnäytetyö, Ympäristöteknologian koulutusohjelma. https://www.theseus.fi/bitstream/handle/10024/14813/Kaukolammon+hiilijalanjalki_Antti+Hieta.pdf?sequence=1</t>
    </r>
  </si>
  <si>
    <t>2010 / 2016 - 2018</t>
  </si>
  <si>
    <t>Uusiutuvalla 35 % kokonaispäästökerroin vrt. diesel.</t>
  </si>
  <si>
    <t>R85:llä n. 57 % kokonaipäästökerroin vrt. bensiini.</t>
  </si>
  <si>
    <t>Oletukset muistiksi: Diesel 141, Bensiini 159 ja taksi 192, hotelliyö 80 €.</t>
  </si>
  <si>
    <t>Syötä vuotuinen sähkönkulutustieto alla olevan taulukon siniseen kenttään.</t>
  </si>
  <si>
    <t>Sähkötyyppi-kohdassa on pudotusvalikko, josta voit vaihtaa käyttämäsi sähköenergian päästökertoimen.</t>
  </si>
  <si>
    <t>Lämmöntuotannossa käytettyjen fossiilisten polttoaineiden aiheuttama kasvihuonekaasupäästö</t>
  </si>
  <si>
    <r>
      <t>Lämmöntuotannossa käytettyjen biopolttoaineiden aiheuttama laskennallinen kasvihuonekaasupäästö (CH</t>
    </r>
    <r>
      <rPr>
        <b/>
        <vertAlign val="subscript"/>
        <sz val="10"/>
        <rFont val="Arial"/>
        <family val="2"/>
      </rPr>
      <t xml:space="preserve">4 </t>
    </r>
    <r>
      <rPr>
        <b/>
        <sz val="10"/>
        <rFont val="Arial"/>
        <family val="2"/>
      </rPr>
      <t>ja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O)</t>
    </r>
  </si>
  <si>
    <t>Mikäli tuotatte itse lämpöänne, kirjatkaa sen prosenttimäärä rivin 6 soluihin. 
Tämä erottelee päästöjä Scope 1 ja 2 välillä.</t>
  </si>
  <si>
    <r>
      <t xml:space="preserve">Scope 1 </t>
    </r>
    <r>
      <rPr>
        <sz val="10"/>
        <rFont val="Arial"/>
        <family val="2"/>
      </rPr>
      <t>(suorat päästöt polttoaineiden käytöstä omaan lämmön- tai sähköntuotantoon)</t>
    </r>
  </si>
  <si>
    <t>HUOM! Lämmöntuotantoon käytettyjen uusiutuvien BIO-merkittyjen polttoaineiden hiilidioksidia ei huomioida mukaan varsinaiseen hiilijalanjälkeen, vaan pelkästään metaani ja dityppioksiduuli huomioidaan.</t>
  </si>
  <si>
    <r>
      <rPr>
        <b/>
        <sz val="10"/>
        <color rgb="FF7030A0"/>
        <rFont val="Arial"/>
        <family val="2"/>
      </rPr>
      <t xml:space="preserve">Kaavio summaa tonni*kilometriperusteiset ja litrakohtaiseen kulutukseen perustuvat päästöt. 
</t>
    </r>
    <r>
      <rPr>
        <b/>
        <sz val="10"/>
        <color rgb="FFFF0000"/>
        <rFont val="Arial"/>
        <family val="2"/>
      </rPr>
      <t>ÄLÄ SIIS TEE KAKSOISLASKENTAA !!</t>
    </r>
  </si>
  <si>
    <t>Raskas polttoöljy, litraa</t>
  </si>
  <si>
    <t>Vaihtoehtoisen käyttövoiman huomioiminen</t>
  </si>
  <si>
    <t>Laskuria ei rajoita tekninen realismi: Vaihtoehtoisista energianlähteistä sähkö ja E85 (korkea etanolipitoisuus) voivat soveltua paketti- ja osittain kuorma-autokuljetuksiin, mutta näitä raskaammissa ajoneuvoyhdistelmissä soveltuvuus on huonompaa.</t>
  </si>
  <si>
    <t>Etäisyys kierrätys-paikalle, km</t>
  </si>
  <si>
    <t>Jätteiden kuljetuksen päästöt</t>
  </si>
  <si>
    <t>Jätteiden käsittelyiden päästöt</t>
  </si>
  <si>
    <t>Vaihtoehtoiset käyttövoimat yhdistävät kertoimia eri lähteistä, joiden välillä on eroja. 
Pääasiassa SFS-EN 16258 ja EcoInvent-tietokantoja on käytetty laskurissa ristiin.</t>
  </si>
  <si>
    <t>Käytetyt päästö- ja kulutuskertoimet:</t>
  </si>
  <si>
    <t>P.s. Kiitos Alli Sirén ja Johanna Niemistö (SYKE) avustanne laskurin tämän version tarkastuksesta ja parannusehdotuksistanne.</t>
  </si>
  <si>
    <r>
      <t>Laskurin tämä versio on muokattu ja päivitetty vuoden 2020 aikana SYKEn tutkijoiden,</t>
    </r>
    <r>
      <rPr>
        <b/>
        <sz val="10"/>
        <rFont val="Arial"/>
        <family val="2"/>
      </rPr>
      <t xml:space="preserve"> Jaakko Karvosen ja Sanna Salmen </t>
    </r>
    <r>
      <rPr>
        <sz val="10"/>
        <rFont val="Arial"/>
        <family val="2"/>
      </rPr>
      <t>toimesta osana Kestävän liiketoiminnan edistäminen Pohjois-Karjalan kiertobiotaloudessa (KELIPK) -hanketta.</t>
    </r>
  </si>
  <si>
    <r>
      <t>VE-käyttövoiman valmistuksen päästöt, kg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-ekv</t>
    </r>
  </si>
  <si>
    <r>
      <t>VE-käyttövoiman käytön päästöt, kg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-ekv</t>
    </r>
  </si>
  <si>
    <r>
      <t>Perinteinen diesel &amp; VE-käyttövoiman käyttöpäästöt yhteensä, kg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-ekv</t>
    </r>
  </si>
  <si>
    <r>
      <t>Perinteinen diesel &amp; VE-käyttövoiman valmistuksen päästöt yhteensä, kg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-ekv</t>
    </r>
  </si>
  <si>
    <r>
      <t>kg CO</t>
    </r>
    <r>
      <rPr>
        <b/>
        <vertAlign val="subscript"/>
        <sz val="11"/>
        <color theme="7" tint="-0.499984740745262"/>
        <rFont val="Arial"/>
        <family val="2"/>
      </rPr>
      <t>2</t>
    </r>
    <r>
      <rPr>
        <b/>
        <sz val="11"/>
        <color theme="7" tint="-0.499984740745262"/>
        <rFont val="Arial"/>
        <family val="2"/>
      </rPr>
      <t>-ekv.</t>
    </r>
  </si>
  <si>
    <r>
      <t>Polttoaineen (diesel) valmistus annetuilla tiedoilla,  kg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-ekv.</t>
    </r>
    <r>
      <rPr>
        <b/>
        <vertAlign val="superscript"/>
        <sz val="10"/>
        <rFont val="Arial"/>
        <family val="2"/>
      </rPr>
      <t>3</t>
    </r>
  </si>
  <si>
    <r>
      <t>Polttoaineen (diesel) valmistuksen päästö annetuilla tiedoilla,  kg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-ekv.</t>
    </r>
    <r>
      <rPr>
        <b/>
        <vertAlign val="superscript"/>
        <sz val="10"/>
        <rFont val="Arial"/>
        <family val="2"/>
      </rPr>
      <t>3</t>
    </r>
  </si>
  <si>
    <r>
      <t>Ajosta aiheutuva suora päästö, Yht. kg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-ekv. </t>
    </r>
  </si>
  <si>
    <r>
      <t>Suora päästö dieselin kulutuksesta, kg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-ekv. </t>
    </r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</si>
  <si>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-ekv. (kg/tkm) </t>
    </r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</si>
  <si>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-ekv. (kg/tkm)</t>
    </r>
  </si>
  <si>
    <r>
      <t>Polttoaineen valmistus annetuilla tiedoilla,  kg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-ekv.</t>
    </r>
    <r>
      <rPr>
        <b/>
        <vertAlign val="superscript"/>
        <sz val="10"/>
        <rFont val="Arial"/>
        <family val="2"/>
      </rPr>
      <t>3</t>
    </r>
  </si>
  <si>
    <r>
      <t>Yhteensä
kg CO</t>
    </r>
    <r>
      <rPr>
        <b/>
        <vertAlign val="subscript"/>
        <sz val="10"/>
        <rFont val="Arial"/>
        <family val="2"/>
      </rPr>
      <t>2-</t>
    </r>
    <r>
      <rPr>
        <b/>
        <sz val="10"/>
        <rFont val="Arial"/>
        <family val="2"/>
      </rPr>
      <t>ekv</t>
    </r>
  </si>
  <si>
    <t>© Suomen ympäristökeskus 2020. Versio 24.9.2020</t>
  </si>
  <si>
    <t>Yleissähkö (liukuva keskiarvo 2016-2018), Suomi, ei tuontia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</si>
  <si>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</rPr>
      <t>Suomessa tuotetun sähkön osuudet:http://www.stat.fi/til/salatuo/2018/salatuo_2018_2019-11-01_tie_001_fi.html. Luvut viitteen 3 (IPCC 2014) epäsuorat päästökertoimet. Polttolaitosten osalta käytetty epäsuorina päästöinä 10 % (karkeistaen) lähteiden 3 ja Hiedan (2010) opinnäytetyön (https://www.theseus.fi/bitstream/handle/10024/14813/Kaukolammon+hiilijalanjalki_Antti+Hieta.pdf?sequence=1) mukaan.</t>
    </r>
  </si>
  <si>
    <r>
      <t>Yht. kg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-ekv.  </t>
    </r>
  </si>
  <si>
    <r>
      <t>Yht. kg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-ekv. </t>
    </r>
  </si>
  <si>
    <t xml:space="preserve">Voitte halutessanne tarkentaa laskentaa vaihtamalla D-sarakkeen päästöluokkatietoa. 
Myös Hotelliyön hintaa voi muokata. </t>
  </si>
  <si>
    <r>
      <t>Yht.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-ekv. (g)</t>
    </r>
  </si>
  <si>
    <r>
      <t>Epäsuorat päästöt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-ekv 
(kg/MWh)</t>
    </r>
    <r>
      <rPr>
        <b/>
        <vertAlign val="superscript"/>
        <sz val="10"/>
        <rFont val="Arial"/>
        <family val="2"/>
      </rPr>
      <t>1 ja 3</t>
    </r>
  </si>
  <si>
    <r>
      <t>Suorat päästöt, CO</t>
    </r>
    <r>
      <rPr>
        <b/>
        <vertAlign val="subscript"/>
        <sz val="10"/>
        <color indexed="63"/>
        <rFont val="Arial"/>
        <family val="2"/>
      </rPr>
      <t>2</t>
    </r>
    <r>
      <rPr>
        <b/>
        <sz val="10"/>
        <color rgb="FF333333"/>
        <rFont val="Arial"/>
        <family val="2"/>
      </rPr>
      <t>-</t>
    </r>
    <r>
      <rPr>
        <b/>
        <sz val="10"/>
        <color indexed="63"/>
        <rFont val="Arial"/>
        <family val="2"/>
      </rPr>
      <t xml:space="preserve">ekv 
(kg/MWh) </t>
    </r>
    <r>
      <rPr>
        <b/>
        <vertAlign val="superscript"/>
        <sz val="10"/>
        <color rgb="FF333333"/>
        <rFont val="Arial"/>
        <family val="2"/>
      </rPr>
      <t>4</t>
    </r>
  </si>
  <si>
    <r>
      <t>Yhteensä 
kg CO</t>
    </r>
    <r>
      <rPr>
        <b/>
        <vertAlign val="subscript"/>
        <sz val="10"/>
        <color indexed="63"/>
        <rFont val="Arial"/>
        <family val="2"/>
      </rPr>
      <t>2</t>
    </r>
    <r>
      <rPr>
        <b/>
        <sz val="10"/>
        <color rgb="FF333333"/>
        <rFont val="Arial"/>
        <family val="2"/>
      </rPr>
      <t>-</t>
    </r>
    <r>
      <rPr>
        <b/>
        <sz val="10"/>
        <color indexed="63"/>
        <rFont val="Arial"/>
        <family val="2"/>
      </rPr>
      <t>ekv</t>
    </r>
  </si>
  <si>
    <r>
      <t>Yhteensä 
kg CO</t>
    </r>
    <r>
      <rPr>
        <b/>
        <vertAlign val="subscript"/>
        <sz val="10"/>
        <color indexed="63"/>
        <rFont val="Arial"/>
        <family val="2"/>
      </rPr>
      <t>2</t>
    </r>
    <r>
      <rPr>
        <b/>
        <sz val="10"/>
        <color indexed="63"/>
        <rFont val="Arial"/>
        <family val="2"/>
      </rPr>
      <t>-ekv</t>
    </r>
  </si>
  <si>
    <r>
      <t>CO</t>
    </r>
    <r>
      <rPr>
        <b/>
        <vertAlign val="subscript"/>
        <sz val="10"/>
        <color indexed="63"/>
        <rFont val="Arial"/>
        <family val="2"/>
      </rPr>
      <t>2</t>
    </r>
    <r>
      <rPr>
        <b/>
        <sz val="10"/>
        <color rgb="FF333333"/>
        <rFont val="Arial"/>
        <family val="2"/>
      </rPr>
      <t>-</t>
    </r>
    <r>
      <rPr>
        <b/>
        <sz val="10"/>
        <color indexed="63"/>
        <rFont val="Arial"/>
        <family val="2"/>
      </rPr>
      <t xml:space="preserve">ekv 
(kg/MWh) </t>
    </r>
    <r>
      <rPr>
        <b/>
        <vertAlign val="superscript"/>
        <sz val="10"/>
        <color indexed="63"/>
        <rFont val="Arial"/>
        <family val="2"/>
      </rPr>
      <t>4</t>
    </r>
  </si>
  <si>
    <r>
      <t>Voit vaihtaa kaukolämmön siniseen soluun G8, mikäli tiedät paikkakuntasi oikean CO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 xml:space="preserve">-ekv. kertoimen. 
</t>
    </r>
    <r>
      <rPr>
        <sz val="10"/>
        <rFont val="Arial"/>
        <family val="2"/>
      </rPr>
      <t>Oletuskerroin on kansallinen keskiarvo, eli  154 g CO2 -ekv. / kWh, eli noin 42,78 g CO2 -ekv. /MJ.</t>
    </r>
  </si>
  <si>
    <t>Maantiekuljetusten päästöt ilman polttoaineen valmistusta yhteensä</t>
  </si>
  <si>
    <t>Jos tiedätte, että sähkönne ei ole alkuperävarmennettua, on parasta kysyä viimeisintä energiaviraston jäännösjakaumaa sähköyhtiöltänne. Suomessa tuotettu sähkö ei välttämättä ole soveltuvin, koska siitä puuttuu tuonnin vaikutus.</t>
  </si>
  <si>
    <t>HUOM - Lentojen päästöt eivät sisällä RF-kertoimia, jolle arviot sijoittuva välille 2-5.</t>
  </si>
  <si>
    <t>Viimeisin korjaus 16.3.2021.</t>
  </si>
  <si>
    <t>LUE OHJEET KULLAKIN VÄLILEHDELLÄ TARKKAAN VÄLTTÄÄKSESI KAKSOISLASKENTOJA JA TÄYTTÖVIRHEITÄ</t>
  </si>
  <si>
    <t xml:space="preserve">Lisää eri jätejakeiden määrät kierrätys- tai polttoprosessin kautta sinisiin ruutuihin.                                                                       Lisää käsittelypaikan etäisyys kuljetuksen päästöjen arvioimiseksi.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</si>
</sst>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"/>
    <numFmt numFmtId="166" formatCode="0.000"/>
    <numFmt numFmtId="167" formatCode="0.0000"/>
    <numFmt numFmtId="168" formatCode="_-* #,##0.0\ _€_-;\-* #,##0.0\ _€_-;_-* &quot;-&quot;??\ _€_-;_-@_-"/>
    <numFmt numFmtId="169" formatCode="_-* #,##0.0000\ _€_-;\-* #,##0.0000\ _€_-;_-* &quot;-&quot;??\ _€_-;_-@_-"/>
    <numFmt numFmtId="170" formatCode="0.0000000"/>
    <numFmt numFmtId="171" formatCode="0.000000"/>
  </numFmts>
  <fonts count="10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vertAlign val="subscript"/>
      <sz val="10"/>
      <color indexed="63"/>
      <name val="Arial"/>
      <family val="2"/>
    </font>
    <font>
      <b/>
      <vertAlign val="superscript"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12"/>
      <name val="Arial"/>
      <family val="2"/>
    </font>
    <font>
      <b/>
      <vertAlign val="subscript"/>
      <sz val="10"/>
      <color indexed="10"/>
      <name val="Arial"/>
      <family val="2"/>
    </font>
    <font>
      <vertAlign val="subscript"/>
      <sz val="12"/>
      <name val="Arial"/>
      <family val="2"/>
    </font>
    <font>
      <u/>
      <sz val="10"/>
      <color indexed="12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6.5"/>
      <name val="Arial"/>
      <family val="2"/>
    </font>
    <font>
      <vertAlign val="subscript"/>
      <sz val="10"/>
      <color indexed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57"/>
      <name val="Arial"/>
      <family val="2"/>
    </font>
    <font>
      <vertAlign val="subscript"/>
      <sz val="10"/>
      <color indexed="57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vertAlign val="subscript"/>
      <sz val="11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FFC000"/>
      <name val="Arial"/>
      <family val="2"/>
    </font>
    <font>
      <sz val="10"/>
      <color rgb="FFFF0000"/>
      <name val="Arial"/>
      <family val="2"/>
    </font>
    <font>
      <vertAlign val="superscript"/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rgb="FFFFC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0"/>
      <color rgb="FFFFC000"/>
      <name val="Arial"/>
      <family val="2"/>
    </font>
    <font>
      <sz val="10"/>
      <color theme="0" tint="-0.34998626667073579"/>
      <name val="Arial"/>
      <family val="2"/>
    </font>
    <font>
      <b/>
      <sz val="10"/>
      <color rgb="FFFFC000"/>
      <name val="Arial"/>
      <family val="2"/>
    </font>
    <font>
      <b/>
      <sz val="10"/>
      <color rgb="FF00B0F0"/>
      <name val="Arial"/>
      <family val="2"/>
    </font>
    <font>
      <sz val="9"/>
      <color rgb="FF000000"/>
      <name val="Arial"/>
      <family val="2"/>
    </font>
    <font>
      <vertAlign val="superscript"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8"/>
      <color theme="0" tint="-0.14999847407452621"/>
      <name val="Inherit"/>
    </font>
    <font>
      <sz val="11"/>
      <color theme="0" tint="-0.14999847407452621"/>
      <name val="Inherit"/>
    </font>
    <font>
      <sz val="10"/>
      <color theme="6" tint="-0.249977111117893"/>
      <name val="Arial"/>
      <family val="2"/>
    </font>
    <font>
      <b/>
      <sz val="11"/>
      <name val="Calibri"/>
      <family val="2"/>
      <scheme val="minor"/>
    </font>
    <font>
      <sz val="10"/>
      <color rgb="FF333333"/>
      <name val="Arial"/>
      <family val="2"/>
    </font>
    <font>
      <b/>
      <sz val="10"/>
      <color rgb="FF7030A0"/>
      <name val="Arial"/>
      <family val="2"/>
    </font>
    <font>
      <b/>
      <sz val="10"/>
      <color rgb="FF333333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vertAlign val="subscript"/>
      <sz val="10"/>
      <color theme="6" tint="-0.249977111117893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1"/>
      <color rgb="FF00B050"/>
      <name val="Arial"/>
      <family val="2"/>
    </font>
    <font>
      <sz val="10"/>
      <color rgb="FF7030A0"/>
      <name val="Arial"/>
      <family val="2"/>
    </font>
    <font>
      <sz val="10"/>
      <color rgb="FF0070C0"/>
      <name val="Arial"/>
      <family val="2"/>
    </font>
    <font>
      <b/>
      <sz val="11"/>
      <color rgb="FF0070C0"/>
      <name val="Arial"/>
      <family val="2"/>
    </font>
    <font>
      <b/>
      <sz val="10"/>
      <color theme="0"/>
      <name val="Arial"/>
      <family val="2"/>
    </font>
    <font>
      <b/>
      <sz val="14"/>
      <color rgb="FFFF0000"/>
      <name val="Arial"/>
      <family val="2"/>
    </font>
    <font>
      <b/>
      <sz val="11"/>
      <color theme="7" tint="-0.499984740745262"/>
      <name val="Arial"/>
      <family val="2"/>
    </font>
    <font>
      <b/>
      <sz val="10"/>
      <color theme="8" tint="-0.499984740745262"/>
      <name val="Arial"/>
      <family val="2"/>
    </font>
    <font>
      <sz val="16"/>
      <name val="Arial"/>
      <family val="2"/>
    </font>
    <font>
      <b/>
      <sz val="11"/>
      <color theme="7" tint="-0.499984740745262"/>
      <name val="Calibri"/>
      <family val="2"/>
      <scheme val="minor"/>
    </font>
    <font>
      <b/>
      <vertAlign val="superscript"/>
      <sz val="10"/>
      <color rgb="FF333333"/>
      <name val="Arial"/>
      <family val="2"/>
    </font>
    <font>
      <b/>
      <u/>
      <sz val="10"/>
      <name val="Arial"/>
      <family val="2"/>
    </font>
    <font>
      <vertAlign val="superscript"/>
      <sz val="11"/>
      <name val="Calibri"/>
      <family val="2"/>
      <scheme val="minor"/>
    </font>
    <font>
      <b/>
      <sz val="10"/>
      <color theme="4"/>
      <name val="Arial"/>
      <family val="2"/>
    </font>
    <font>
      <b/>
      <vertAlign val="subscript"/>
      <sz val="11"/>
      <color theme="7" tint="-0.49998474074526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A9A9A9"/>
      </right>
      <top style="medium">
        <color rgb="FFA9A9A9"/>
      </top>
      <bottom style="medium">
        <color rgb="FFA9A9A9"/>
      </bottom>
      <diagonal/>
    </border>
    <border>
      <left/>
      <right style="medium">
        <color rgb="FFA9A9A9"/>
      </right>
      <top/>
      <bottom style="medium">
        <color rgb="FFA9A9A9"/>
      </bottom>
      <diagonal/>
    </border>
    <border>
      <left style="medium">
        <color rgb="FFA9A9A9"/>
      </left>
      <right/>
      <top style="medium">
        <color rgb="FFA9A9A9"/>
      </top>
      <bottom style="medium">
        <color rgb="FFA9A9A9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0" fillId="6" borderId="0" applyNumberFormat="0" applyBorder="0" applyAlignment="0" applyProtection="0"/>
    <xf numFmtId="164" fontId="2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2" fillId="7" borderId="0" applyNumberFormat="0" applyBorder="0" applyAlignment="0" applyProtection="0"/>
    <xf numFmtId="0" fontId="36" fillId="0" borderId="0"/>
    <xf numFmtId="0" fontId="53" fillId="0" borderId="0" applyNumberFormat="0" applyBorder="0" applyAlignment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9" fontId="2" fillId="0" borderId="0" applyFont="0" applyFill="0" applyBorder="0" applyAlignment="0" applyProtection="0"/>
    <xf numFmtId="9" fontId="49" fillId="0" borderId="0" applyFont="0" applyFill="0" applyBorder="0" applyAlignment="0" applyProtection="0"/>
  </cellStyleXfs>
  <cellXfs count="553">
    <xf numFmtId="0" fontId="0" fillId="0" borderId="0" xfId="0"/>
    <xf numFmtId="0" fontId="3" fillId="0" borderId="0" xfId="0" applyFont="1"/>
    <xf numFmtId="0" fontId="4" fillId="0" borderId="0" xfId="0" applyFont="1"/>
    <xf numFmtId="0" fontId="8" fillId="0" borderId="0" xfId="0" applyFont="1"/>
    <xf numFmtId="0" fontId="9" fillId="0" borderId="0" xfId="0" applyFont="1"/>
    <xf numFmtId="0" fontId="12" fillId="0" borderId="0" xfId="0" applyFont="1"/>
    <xf numFmtId="0" fontId="14" fillId="0" borderId="0" xfId="0" applyFont="1"/>
    <xf numFmtId="0" fontId="0" fillId="3" borderId="0" xfId="0" applyFill="1"/>
    <xf numFmtId="0" fontId="0" fillId="3" borderId="1" xfId="0" applyFill="1" applyBorder="1"/>
    <xf numFmtId="0" fontId="18" fillId="0" borderId="0" xfId="0" applyFont="1"/>
    <xf numFmtId="0" fontId="0" fillId="0" borderId="0" xfId="0" applyAlignment="1">
      <alignment horizontal="left"/>
    </xf>
    <xf numFmtId="0" fontId="0" fillId="4" borderId="0" xfId="0" applyFill="1"/>
    <xf numFmtId="0" fontId="9" fillId="3" borderId="0" xfId="0" applyFont="1" applyFill="1"/>
    <xf numFmtId="0" fontId="9" fillId="4" borderId="0" xfId="0" applyFont="1" applyFill="1"/>
    <xf numFmtId="0" fontId="9" fillId="5" borderId="0" xfId="0" applyFont="1" applyFill="1"/>
    <xf numFmtId="0" fontId="0" fillId="5" borderId="0" xfId="0" applyFill="1"/>
    <xf numFmtId="0" fontId="9" fillId="5" borderId="0" xfId="0" applyFont="1" applyFill="1" applyBorder="1"/>
    <xf numFmtId="2" fontId="0" fillId="3" borderId="1" xfId="0" applyNumberFormat="1" applyFill="1" applyBorder="1"/>
    <xf numFmtId="2" fontId="9" fillId="3" borderId="2" xfId="0" applyNumberFormat="1" applyFont="1" applyFill="1" applyBorder="1"/>
    <xf numFmtId="0" fontId="3" fillId="5" borderId="0" xfId="0" applyFont="1" applyFill="1"/>
    <xf numFmtId="0" fontId="3" fillId="3" borderId="1" xfId="0" applyFont="1" applyFill="1" applyBorder="1"/>
    <xf numFmtId="0" fontId="5" fillId="3" borderId="1" xfId="0" applyFont="1" applyFill="1" applyBorder="1"/>
    <xf numFmtId="0" fontId="9" fillId="0" borderId="0" xfId="0" applyFont="1" applyFill="1" applyBorder="1"/>
    <xf numFmtId="0" fontId="20" fillId="0" borderId="0" xfId="0" applyFont="1"/>
    <xf numFmtId="0" fontId="20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19" fillId="0" borderId="0" xfId="0" applyFont="1"/>
    <xf numFmtId="0" fontId="9" fillId="0" borderId="3" xfId="0" applyFont="1" applyBorder="1"/>
    <xf numFmtId="0" fontId="20" fillId="0" borderId="4" xfId="0" applyFont="1" applyBorder="1"/>
    <xf numFmtId="0" fontId="0" fillId="3" borderId="6" xfId="0" applyFill="1" applyBorder="1"/>
    <xf numFmtId="0" fontId="0" fillId="0" borderId="1" xfId="0" applyBorder="1"/>
    <xf numFmtId="0" fontId="9" fillId="2" borderId="3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0" fontId="9" fillId="0" borderId="1" xfId="0" applyFont="1" applyBorder="1"/>
    <xf numFmtId="0" fontId="22" fillId="0" borderId="3" xfId="0" applyFont="1" applyBorder="1"/>
    <xf numFmtId="0" fontId="0" fillId="0" borderId="3" xfId="0" applyBorder="1"/>
    <xf numFmtId="0" fontId="9" fillId="2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3" borderId="11" xfId="0" applyFont="1" applyFill="1" applyBorder="1" applyAlignment="1">
      <alignment wrapText="1"/>
    </xf>
    <xf numFmtId="0" fontId="9" fillId="3" borderId="12" xfId="0" applyFont="1" applyFill="1" applyBorder="1" applyAlignment="1">
      <alignment wrapText="1"/>
    </xf>
    <xf numFmtId="0" fontId="0" fillId="3" borderId="11" xfId="0" applyFill="1" applyBorder="1"/>
    <xf numFmtId="0" fontId="0" fillId="3" borderId="12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0" borderId="14" xfId="0" applyBorder="1"/>
    <xf numFmtId="0" fontId="9" fillId="3" borderId="1" xfId="0" applyFont="1" applyFill="1" applyBorder="1"/>
    <xf numFmtId="0" fontId="9" fillId="3" borderId="19" xfId="0" applyFont="1" applyFill="1" applyBorder="1"/>
    <xf numFmtId="0" fontId="19" fillId="0" borderId="0" xfId="0" applyFont="1" applyFill="1" applyBorder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2" fontId="9" fillId="0" borderId="0" xfId="0" applyNumberFormat="1" applyFont="1" applyFill="1" applyBorder="1"/>
    <xf numFmtId="0" fontId="9" fillId="0" borderId="1" xfId="0" applyFont="1" applyFill="1" applyBorder="1"/>
    <xf numFmtId="0" fontId="3" fillId="3" borderId="20" xfId="0" applyFont="1" applyFill="1" applyBorder="1"/>
    <xf numFmtId="0" fontId="3" fillId="3" borderId="18" xfId="0" applyFont="1" applyFill="1" applyBorder="1"/>
    <xf numFmtId="0" fontId="0" fillId="3" borderId="18" xfId="0" applyFill="1" applyBorder="1"/>
    <xf numFmtId="0" fontId="3" fillId="3" borderId="19" xfId="0" applyFont="1" applyFill="1" applyBorder="1"/>
    <xf numFmtId="0" fontId="15" fillId="0" borderId="2" xfId="0" applyFont="1" applyFill="1" applyBorder="1" applyAlignment="1">
      <alignment horizontal="center" wrapText="1"/>
    </xf>
    <xf numFmtId="0" fontId="15" fillId="3" borderId="21" xfId="0" applyFont="1" applyFill="1" applyBorder="1" applyAlignment="1">
      <alignment horizontal="center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0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31" fillId="0" borderId="1" xfId="0" applyFont="1" applyBorder="1"/>
    <xf numFmtId="0" fontId="0" fillId="0" borderId="7" xfId="0" applyBorder="1"/>
    <xf numFmtId="2" fontId="0" fillId="0" borderId="0" xfId="0" applyNumberFormat="1"/>
    <xf numFmtId="0" fontId="0" fillId="0" borderId="22" xfId="0" applyBorder="1" applyAlignment="1">
      <alignment horizontal="center"/>
    </xf>
    <xf numFmtId="0" fontId="9" fillId="3" borderId="2" xfId="0" applyFont="1" applyFill="1" applyBorder="1" applyAlignment="1">
      <alignment wrapText="1"/>
    </xf>
    <xf numFmtId="0" fontId="21" fillId="0" borderId="1" xfId="0" applyFont="1" applyBorder="1"/>
    <xf numFmtId="0" fontId="21" fillId="0" borderId="1" xfId="0" applyFont="1" applyFill="1" applyBorder="1"/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15" fillId="0" borderId="0" xfId="0" applyFont="1" applyFill="1" applyBorder="1" applyAlignment="1">
      <alignment horizontal="center"/>
    </xf>
    <xf numFmtId="0" fontId="55" fillId="0" borderId="0" xfId="0" applyFont="1" applyFill="1" applyBorder="1"/>
    <xf numFmtId="0" fontId="55" fillId="0" borderId="0" xfId="0" applyFont="1"/>
    <xf numFmtId="0" fontId="27" fillId="0" borderId="0" xfId="4" applyAlignment="1" applyProtection="1"/>
    <xf numFmtId="0" fontId="11" fillId="0" borderId="0" xfId="0" applyFont="1"/>
    <xf numFmtId="0" fontId="56" fillId="0" borderId="0" xfId="0" applyFont="1"/>
    <xf numFmtId="0" fontId="52" fillId="7" borderId="0" xfId="6"/>
    <xf numFmtId="0" fontId="50" fillId="6" borderId="0" xfId="1"/>
    <xf numFmtId="0" fontId="57" fillId="0" borderId="0" xfId="0" applyFont="1"/>
    <xf numFmtId="9" fontId="0" fillId="0" borderId="0" xfId="0" applyNumberFormat="1"/>
    <xf numFmtId="0" fontId="58" fillId="0" borderId="1" xfId="0" applyFont="1" applyBorder="1"/>
    <xf numFmtId="0" fontId="58" fillId="0" borderId="4" xfId="0" applyFont="1" applyBorder="1"/>
    <xf numFmtId="167" fontId="59" fillId="0" borderId="1" xfId="0" applyNumberFormat="1" applyFont="1" applyBorder="1"/>
    <xf numFmtId="0" fontId="60" fillId="0" borderId="0" xfId="0" applyFont="1"/>
    <xf numFmtId="0" fontId="61" fillId="9" borderId="0" xfId="6" applyFont="1" applyFill="1"/>
    <xf numFmtId="0" fontId="54" fillId="0" borderId="0" xfId="0" applyFont="1"/>
    <xf numFmtId="0" fontId="62" fillId="0" borderId="0" xfId="0" applyFont="1"/>
    <xf numFmtId="10" fontId="0" fillId="0" borderId="0" xfId="14" applyNumberFormat="1" applyFont="1"/>
    <xf numFmtId="0" fontId="0" fillId="0" borderId="0" xfId="0" applyBorder="1"/>
    <xf numFmtId="9" fontId="0" fillId="0" borderId="0" xfId="14" applyFont="1"/>
    <xf numFmtId="164" fontId="0" fillId="0" borderId="0" xfId="2" applyFont="1"/>
    <xf numFmtId="164" fontId="0" fillId="0" borderId="0" xfId="0" applyNumberFormat="1"/>
    <xf numFmtId="0" fontId="9" fillId="3" borderId="0" xfId="0" applyFont="1" applyFill="1" applyBorder="1"/>
    <xf numFmtId="10" fontId="21" fillId="0" borderId="0" xfId="14" applyNumberFormat="1" applyFont="1"/>
    <xf numFmtId="164" fontId="21" fillId="0" borderId="0" xfId="2" applyFont="1"/>
    <xf numFmtId="169" fontId="21" fillId="0" borderId="0" xfId="2" applyNumberFormat="1" applyFont="1"/>
    <xf numFmtId="0" fontId="21" fillId="0" borderId="0" xfId="0" applyFont="1" applyAlignment="1">
      <alignment wrapText="1"/>
    </xf>
    <xf numFmtId="0" fontId="0" fillId="0" borderId="1" xfId="0" applyFill="1" applyBorder="1"/>
    <xf numFmtId="0" fontId="9" fillId="0" borderId="1" xfId="0" applyFont="1" applyFill="1" applyBorder="1" applyAlignment="1">
      <alignment horizontal="center" wrapText="1"/>
    </xf>
    <xf numFmtId="0" fontId="21" fillId="0" borderId="0" xfId="0" applyFont="1" applyFill="1" applyBorder="1"/>
    <xf numFmtId="0" fontId="49" fillId="0" borderId="0" xfId="13"/>
    <xf numFmtId="0" fontId="0" fillId="0" borderId="6" xfId="0" applyBorder="1"/>
    <xf numFmtId="2" fontId="0" fillId="0" borderId="1" xfId="0" applyNumberFormat="1" applyFill="1" applyBorder="1"/>
    <xf numFmtId="0" fontId="21" fillId="0" borderId="0" xfId="0" applyFont="1" applyFill="1"/>
    <xf numFmtId="0" fontId="52" fillId="0" borderId="0" xfId="6" applyFill="1"/>
    <xf numFmtId="0" fontId="63" fillId="0" borderId="0" xfId="1" applyFont="1" applyFill="1"/>
    <xf numFmtId="0" fontId="63" fillId="0" borderId="0" xfId="6" applyFont="1" applyFill="1"/>
    <xf numFmtId="165" fontId="0" fillId="3" borderId="1" xfId="0" applyNumberFormat="1" applyFill="1" applyBorder="1"/>
    <xf numFmtId="0" fontId="20" fillId="0" borderId="1" xfId="0" applyFont="1" applyBorder="1" applyAlignment="1">
      <alignment wrapText="1"/>
    </xf>
    <xf numFmtId="0" fontId="3" fillId="0" borderId="0" xfId="0" applyFont="1" applyFill="1"/>
    <xf numFmtId="0" fontId="15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64" fillId="0" borderId="0" xfId="0" applyFont="1" applyFill="1" applyBorder="1"/>
    <xf numFmtId="0" fontId="55" fillId="0" borderId="0" xfId="0" applyFont="1" applyFill="1"/>
    <xf numFmtId="0" fontId="27" fillId="0" borderId="0" xfId="4" applyFill="1" applyAlignment="1" applyProtection="1"/>
    <xf numFmtId="0" fontId="9" fillId="0" borderId="0" xfId="0" applyFont="1" applyAlignment="1">
      <alignment wrapText="1"/>
    </xf>
    <xf numFmtId="166" fontId="0" fillId="0" borderId="0" xfId="0" applyNumberFormat="1"/>
    <xf numFmtId="0" fontId="21" fillId="0" borderId="0" xfId="0" applyFont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58" fillId="0" borderId="0" xfId="0" applyFont="1" applyBorder="1"/>
    <xf numFmtId="0" fontId="9" fillId="0" borderId="0" xfId="0" applyFont="1" applyFill="1"/>
    <xf numFmtId="0" fontId="63" fillId="0" borderId="1" xfId="1" applyFont="1" applyFill="1" applyBorder="1"/>
    <xf numFmtId="0" fontId="65" fillId="0" borderId="0" xfId="0" applyFont="1"/>
    <xf numFmtId="0" fontId="66" fillId="0" borderId="0" xfId="0" applyFont="1" applyFill="1" applyBorder="1"/>
    <xf numFmtId="168" fontId="59" fillId="0" borderId="1" xfId="0" applyNumberFormat="1" applyFont="1" applyBorder="1"/>
    <xf numFmtId="166" fontId="0" fillId="3" borderId="6" xfId="0" applyNumberFormat="1" applyFill="1" applyBorder="1"/>
    <xf numFmtId="168" fontId="0" fillId="0" borderId="0" xfId="0" applyNumberFormat="1"/>
    <xf numFmtId="0" fontId="21" fillId="0" borderId="1" xfId="0" applyFont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1" fontId="63" fillId="0" borderId="1" xfId="1" applyNumberFormat="1" applyFont="1" applyFill="1" applyBorder="1" applyAlignment="1">
      <alignment horizontal="center"/>
    </xf>
    <xf numFmtId="0" fontId="63" fillId="0" borderId="1" xfId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63" fillId="0" borderId="0" xfId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1" fillId="0" borderId="0" xfId="0" applyFont="1" applyFill="1"/>
    <xf numFmtId="0" fontId="21" fillId="0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68" fillId="0" borderId="0" xfId="0" applyFont="1"/>
    <xf numFmtId="164" fontId="0" fillId="0" borderId="1" xfId="0" applyNumberFormat="1" applyBorder="1"/>
    <xf numFmtId="0" fontId="69" fillId="0" borderId="0" xfId="0" applyFont="1"/>
    <xf numFmtId="0" fontId="70" fillId="0" borderId="0" xfId="0" applyFont="1"/>
    <xf numFmtId="0" fontId="50" fillId="0" borderId="0" xfId="1" applyFill="1" applyBorder="1"/>
    <xf numFmtId="0" fontId="50" fillId="0" borderId="0" xfId="1" applyFill="1"/>
    <xf numFmtId="0" fontId="21" fillId="0" borderId="0" xfId="0" applyFont="1" applyFill="1" applyAlignment="1">
      <alignment horizontal="left"/>
    </xf>
    <xf numFmtId="0" fontId="0" fillId="0" borderId="0" xfId="0" applyAlignment="1"/>
    <xf numFmtId="0" fontId="21" fillId="0" borderId="5" xfId="0" applyFont="1" applyBorder="1"/>
    <xf numFmtId="165" fontId="0" fillId="0" borderId="0" xfId="0" applyNumberFormat="1" applyFill="1"/>
    <xf numFmtId="0" fontId="71" fillId="0" borderId="0" xfId="0" applyFont="1" applyFill="1"/>
    <xf numFmtId="0" fontId="72" fillId="0" borderId="0" xfId="0" applyFont="1" applyFill="1"/>
    <xf numFmtId="3" fontId="71" fillId="0" borderId="0" xfId="0" applyNumberFormat="1" applyFont="1" applyFill="1"/>
    <xf numFmtId="0" fontId="73" fillId="0" borderId="37" xfId="0" applyFont="1" applyFill="1" applyBorder="1" applyAlignment="1">
      <alignment horizontal="left" vertical="center" wrapText="1"/>
    </xf>
    <xf numFmtId="3" fontId="74" fillId="0" borderId="38" xfId="0" applyNumberFormat="1" applyFont="1" applyFill="1" applyBorder="1" applyAlignment="1">
      <alignment horizontal="right" vertical="center"/>
    </xf>
    <xf numFmtId="3" fontId="74" fillId="0" borderId="39" xfId="0" applyNumberFormat="1" applyFont="1" applyFill="1" applyBorder="1" applyAlignment="1">
      <alignment horizontal="right" vertical="center"/>
    </xf>
    <xf numFmtId="0" fontId="21" fillId="3" borderId="11" xfId="0" applyFont="1" applyFill="1" applyBorder="1"/>
    <xf numFmtId="0" fontId="21" fillId="3" borderId="12" xfId="0" applyFont="1" applyFill="1" applyBorder="1"/>
    <xf numFmtId="0" fontId="21" fillId="3" borderId="2" xfId="0" applyFont="1" applyFill="1" applyBorder="1"/>
    <xf numFmtId="0" fontId="21" fillId="0" borderId="2" xfId="0" applyFont="1" applyBorder="1"/>
    <xf numFmtId="165" fontId="9" fillId="0" borderId="1" xfId="0" applyNumberFormat="1" applyFont="1" applyBorder="1" applyAlignment="1">
      <alignment wrapText="1"/>
    </xf>
    <xf numFmtId="0" fontId="75" fillId="4" borderId="0" xfId="0" applyFont="1" applyFill="1"/>
    <xf numFmtId="0" fontId="75" fillId="4" borderId="13" xfId="0" applyFont="1" applyFill="1" applyBorder="1"/>
    <xf numFmtId="0" fontId="75" fillId="4" borderId="23" xfId="0" applyFont="1" applyFill="1" applyBorder="1"/>
    <xf numFmtId="0" fontId="75" fillId="4" borderId="24" xfId="0" applyFont="1" applyFill="1" applyBorder="1" applyAlignment="1"/>
    <xf numFmtId="0" fontId="21" fillId="3" borderId="15" xfId="0" applyFont="1" applyFill="1" applyBorder="1" applyAlignment="1"/>
    <xf numFmtId="0" fontId="21" fillId="3" borderId="16" xfId="0" applyFont="1" applyFill="1" applyBorder="1" applyAlignment="1"/>
    <xf numFmtId="0" fontId="21" fillId="3" borderId="17" xfId="0" applyFont="1" applyFill="1" applyBorder="1" applyAlignment="1"/>
    <xf numFmtId="0" fontId="22" fillId="3" borderId="17" xfId="0" applyFont="1" applyFill="1" applyBorder="1" applyAlignment="1"/>
    <xf numFmtId="164" fontId="56" fillId="0" borderId="1" xfId="0" applyNumberFormat="1" applyFont="1" applyFill="1" applyBorder="1"/>
    <xf numFmtId="165" fontId="0" fillId="3" borderId="7" xfId="0" applyNumberFormat="1" applyFill="1" applyBorder="1"/>
    <xf numFmtId="164" fontId="56" fillId="0" borderId="6" xfId="0" applyNumberFormat="1" applyFont="1" applyFill="1" applyBorder="1"/>
    <xf numFmtId="165" fontId="0" fillId="3" borderId="6" xfId="0" applyNumberFormat="1" applyFill="1" applyBorder="1"/>
    <xf numFmtId="0" fontId="56" fillId="0" borderId="0" xfId="0" applyFont="1" applyFill="1"/>
    <xf numFmtId="0" fontId="9" fillId="3" borderId="1" xfId="0" applyFont="1" applyFill="1" applyBorder="1" applyAlignment="1">
      <alignment horizontal="center" wrapText="1"/>
    </xf>
    <xf numFmtId="0" fontId="43" fillId="3" borderId="18" xfId="0" applyFont="1" applyFill="1" applyBorder="1"/>
    <xf numFmtId="2" fontId="43" fillId="3" borderId="18" xfId="0" applyNumberFormat="1" applyFont="1" applyFill="1" applyBorder="1"/>
    <xf numFmtId="0" fontId="43" fillId="3" borderId="19" xfId="0" applyFont="1" applyFill="1" applyBorder="1"/>
    <xf numFmtId="0" fontId="45" fillId="3" borderId="20" xfId="0" applyFont="1" applyFill="1" applyBorder="1"/>
    <xf numFmtId="0" fontId="45" fillId="3" borderId="18" xfId="0" applyFont="1" applyFill="1" applyBorder="1"/>
    <xf numFmtId="2" fontId="45" fillId="3" borderId="18" xfId="0" applyNumberFormat="1" applyFont="1" applyFill="1" applyBorder="1"/>
    <xf numFmtId="0" fontId="9" fillId="0" borderId="4" xfId="0" applyFont="1" applyFill="1" applyBorder="1"/>
    <xf numFmtId="0" fontId="45" fillId="3" borderId="28" xfId="0" applyFont="1" applyFill="1" applyBorder="1"/>
    <xf numFmtId="0" fontId="9" fillId="0" borderId="29" xfId="0" applyFont="1" applyFill="1" applyBorder="1"/>
    <xf numFmtId="0" fontId="8" fillId="0" borderId="0" xfId="0" applyFont="1" applyFill="1"/>
    <xf numFmtId="0" fontId="9" fillId="3" borderId="1" xfId="0" applyFont="1" applyFill="1" applyBorder="1" applyAlignment="1">
      <alignment wrapText="1"/>
    </xf>
    <xf numFmtId="0" fontId="21" fillId="3" borderId="1" xfId="0" applyFont="1" applyFill="1" applyBorder="1"/>
    <xf numFmtId="0" fontId="0" fillId="0" borderId="30" xfId="0" applyBorder="1"/>
    <xf numFmtId="0" fontId="22" fillId="3" borderId="31" xfId="0" applyFont="1" applyFill="1" applyBorder="1" applyAlignment="1"/>
    <xf numFmtId="0" fontId="75" fillId="4" borderId="32" xfId="0" applyFont="1" applyFill="1" applyBorder="1" applyAlignment="1"/>
    <xf numFmtId="0" fontId="63" fillId="0" borderId="0" xfId="6" applyFont="1" applyFill="1" applyAlignment="1" applyProtection="1"/>
    <xf numFmtId="0" fontId="21" fillId="0" borderId="4" xfId="0" applyFont="1" applyFill="1" applyBorder="1"/>
    <xf numFmtId="0" fontId="22" fillId="4" borderId="9" xfId="0" applyFont="1" applyFill="1" applyBorder="1" applyAlignment="1">
      <alignment horizontal="right"/>
    </xf>
    <xf numFmtId="0" fontId="0" fillId="0" borderId="33" xfId="0" applyBorder="1"/>
    <xf numFmtId="165" fontId="22" fillId="0" borderId="34" xfId="0" applyNumberFormat="1" applyFont="1" applyBorder="1"/>
    <xf numFmtId="0" fontId="22" fillId="0" borderId="35" xfId="0" applyFont="1" applyFill="1" applyBorder="1"/>
    <xf numFmtId="0" fontId="63" fillId="9" borderId="1" xfId="1" applyFont="1" applyFill="1" applyBorder="1"/>
    <xf numFmtId="166" fontId="0" fillId="3" borderId="1" xfId="0" applyNumberFormat="1" applyFill="1" applyBorder="1"/>
    <xf numFmtId="2" fontId="9" fillId="3" borderId="1" xfId="0" applyNumberFormat="1" applyFont="1" applyFill="1" applyBorder="1"/>
    <xf numFmtId="2" fontId="0" fillId="0" borderId="0" xfId="0" applyNumberFormat="1" applyFill="1"/>
    <xf numFmtId="2" fontId="21" fillId="0" borderId="0" xfId="0" applyNumberFormat="1" applyFont="1"/>
    <xf numFmtId="2" fontId="0" fillId="3" borderId="6" xfId="0" applyNumberFormat="1" applyFill="1" applyBorder="1"/>
    <xf numFmtId="2" fontId="0" fillId="0" borderId="0" xfId="0" applyNumberFormat="1" applyFill="1" applyBorder="1"/>
    <xf numFmtId="0" fontId="0" fillId="0" borderId="0" xfId="0" applyNumberFormat="1" applyFill="1" applyBorder="1"/>
    <xf numFmtId="0" fontId="43" fillId="3" borderId="1" xfId="0" applyFont="1" applyFill="1" applyBorder="1" applyAlignment="1">
      <alignment horizontal="right"/>
    </xf>
    <xf numFmtId="2" fontId="9" fillId="0" borderId="3" xfId="0" applyNumberFormat="1" applyFont="1" applyFill="1" applyBorder="1" applyAlignment="1">
      <alignment wrapText="1"/>
    </xf>
    <xf numFmtId="0" fontId="21" fillId="3" borderId="18" xfId="0" applyFont="1" applyFill="1" applyBorder="1"/>
    <xf numFmtId="0" fontId="21" fillId="3" borderId="20" xfId="0" applyFont="1" applyFill="1" applyBorder="1" applyAlignment="1">
      <alignment horizontal="right"/>
    </xf>
    <xf numFmtId="2" fontId="21" fillId="3" borderId="18" xfId="0" applyNumberFormat="1" applyFont="1" applyFill="1" applyBorder="1"/>
    <xf numFmtId="0" fontId="43" fillId="3" borderId="20" xfId="0" applyFont="1" applyFill="1" applyBorder="1" applyAlignment="1">
      <alignment horizontal="right"/>
    </xf>
    <xf numFmtId="0" fontId="50" fillId="0" borderId="0" xfId="1" applyFill="1" applyBorder="1" applyAlignment="1">
      <alignment horizontal="center"/>
    </xf>
    <xf numFmtId="165" fontId="9" fillId="0" borderId="0" xfId="0" applyNumberFormat="1" applyFont="1" applyFill="1" applyBorder="1" applyAlignment="1">
      <alignment wrapText="1"/>
    </xf>
    <xf numFmtId="167" fontId="9" fillId="0" borderId="1" xfId="0" applyNumberFormat="1" applyFont="1" applyBorder="1" applyAlignment="1">
      <alignment wrapText="1"/>
    </xf>
    <xf numFmtId="0" fontId="32" fillId="11" borderId="0" xfId="0" applyFont="1" applyFill="1"/>
    <xf numFmtId="0" fontId="9" fillId="0" borderId="2" xfId="0" applyFont="1" applyBorder="1"/>
    <xf numFmtId="11" fontId="63" fillId="0" borderId="0" xfId="1" applyNumberFormat="1" applyFont="1" applyFill="1" applyBorder="1" applyAlignment="1">
      <alignment horizontal="center"/>
    </xf>
    <xf numFmtId="0" fontId="11" fillId="0" borderId="0" xfId="0" applyFont="1" applyFill="1" applyBorder="1"/>
    <xf numFmtId="0" fontId="21" fillId="0" borderId="0" xfId="0" applyFont="1" applyBorder="1"/>
    <xf numFmtId="0" fontId="76" fillId="0" borderId="1" xfId="1" applyFont="1" applyFill="1" applyBorder="1" applyAlignment="1">
      <alignment horizontal="center" wrapText="1"/>
    </xf>
    <xf numFmtId="0" fontId="76" fillId="0" borderId="1" xfId="1" applyFont="1" applyFill="1" applyBorder="1" applyAlignment="1">
      <alignment horizontal="center"/>
    </xf>
    <xf numFmtId="0" fontId="0" fillId="9" borderId="0" xfId="0" applyFill="1"/>
    <xf numFmtId="0" fontId="77" fillId="9" borderId="0" xfId="0" applyFont="1" applyFill="1" applyAlignment="1">
      <alignment vertical="center" wrapText="1"/>
    </xf>
    <xf numFmtId="0" fontId="21" fillId="9" borderId="0" xfId="0" applyFont="1" applyFill="1" applyAlignment="1">
      <alignment wrapText="1"/>
    </xf>
    <xf numFmtId="0" fontId="0" fillId="9" borderId="0" xfId="0" applyFill="1" applyAlignment="1">
      <alignment wrapText="1"/>
    </xf>
    <xf numFmtId="0" fontId="21" fillId="0" borderId="0" xfId="0" applyFont="1" applyAlignment="1">
      <alignment horizontal="right"/>
    </xf>
    <xf numFmtId="0" fontId="21" fillId="0" borderId="30" xfId="0" applyFont="1" applyFill="1" applyBorder="1" applyAlignment="1">
      <alignment horizontal="right"/>
    </xf>
    <xf numFmtId="0" fontId="3" fillId="3" borderId="0" xfId="0" applyFont="1" applyFill="1" applyBorder="1"/>
    <xf numFmtId="0" fontId="20" fillId="0" borderId="4" xfId="0" applyFont="1" applyBorder="1" applyAlignment="1">
      <alignment wrapText="1"/>
    </xf>
    <xf numFmtId="0" fontId="9" fillId="3" borderId="36" xfId="0" applyFont="1" applyFill="1" applyBorder="1"/>
    <xf numFmtId="0" fontId="9" fillId="9" borderId="2" xfId="0" applyFont="1" applyFill="1" applyBorder="1" applyAlignment="1">
      <alignment wrapText="1"/>
    </xf>
    <xf numFmtId="0" fontId="22" fillId="9" borderId="0" xfId="0" applyFont="1" applyFill="1" applyAlignment="1">
      <alignment horizontal="center" vertical="center"/>
    </xf>
    <xf numFmtId="0" fontId="0" fillId="2" borderId="1" xfId="0" applyFill="1" applyBorder="1" applyProtection="1">
      <protection locked="0"/>
    </xf>
    <xf numFmtId="0" fontId="78" fillId="2" borderId="1" xfId="0" applyFont="1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0" fontId="21" fillId="2" borderId="1" xfId="0" applyFont="1" applyFill="1" applyBorder="1" applyProtection="1">
      <protection locked="0"/>
    </xf>
    <xf numFmtId="0" fontId="60" fillId="0" borderId="0" xfId="0" applyFont="1" applyBorder="1"/>
    <xf numFmtId="2" fontId="21" fillId="2" borderId="1" xfId="0" applyNumberFormat="1" applyFont="1" applyFill="1" applyBorder="1" applyProtection="1">
      <protection locked="0"/>
    </xf>
    <xf numFmtId="0" fontId="21" fillId="10" borderId="1" xfId="0" applyFont="1" applyFill="1" applyBorder="1" applyProtection="1">
      <protection locked="0"/>
    </xf>
    <xf numFmtId="0" fontId="21" fillId="8" borderId="1" xfId="0" applyFont="1" applyFill="1" applyBorder="1" applyProtection="1">
      <protection locked="0"/>
    </xf>
    <xf numFmtId="0" fontId="80" fillId="0" borderId="0" xfId="0" applyFont="1"/>
    <xf numFmtId="167" fontId="21" fillId="0" borderId="1" xfId="0" applyNumberFormat="1" applyFont="1" applyBorder="1"/>
    <xf numFmtId="166" fontId="21" fillId="3" borderId="11" xfId="0" applyNumberFormat="1" applyFont="1" applyFill="1" applyBorder="1"/>
    <xf numFmtId="166" fontId="0" fillId="3" borderId="12" xfId="0" applyNumberFormat="1" applyFill="1" applyBorder="1"/>
    <xf numFmtId="166" fontId="21" fillId="3" borderId="2" xfId="0" applyNumberFormat="1" applyFont="1" applyFill="1" applyBorder="1"/>
    <xf numFmtId="166" fontId="21" fillId="3" borderId="1" xfId="0" applyNumberFormat="1" applyFont="1" applyFill="1" applyBorder="1"/>
    <xf numFmtId="166" fontId="0" fillId="3" borderId="11" xfId="0" applyNumberFormat="1" applyFill="1" applyBorder="1"/>
    <xf numFmtId="166" fontId="0" fillId="3" borderId="2" xfId="0" applyNumberFormat="1" applyFill="1" applyBorder="1"/>
    <xf numFmtId="166" fontId="56" fillId="4" borderId="11" xfId="0" applyNumberFormat="1" applyFont="1" applyFill="1" applyBorder="1"/>
    <xf numFmtId="166" fontId="56" fillId="4" borderId="12" xfId="0" applyNumberFormat="1" applyFont="1" applyFill="1" applyBorder="1"/>
    <xf numFmtId="166" fontId="9" fillId="3" borderId="2" xfId="0" applyNumberFormat="1" applyFont="1" applyFill="1" applyBorder="1" applyAlignment="1">
      <alignment wrapText="1"/>
    </xf>
    <xf numFmtId="166" fontId="9" fillId="3" borderId="1" xfId="0" applyNumberFormat="1" applyFont="1" applyFill="1" applyBorder="1" applyAlignment="1">
      <alignment wrapText="1"/>
    </xf>
    <xf numFmtId="166" fontId="56" fillId="4" borderId="13" xfId="0" applyNumberFormat="1" applyFont="1" applyFill="1" applyBorder="1"/>
    <xf numFmtId="166" fontId="56" fillId="4" borderId="23" xfId="0" applyNumberFormat="1" applyFont="1" applyFill="1" applyBorder="1"/>
    <xf numFmtId="171" fontId="21" fillId="3" borderId="11" xfId="2" applyNumberFormat="1" applyFont="1" applyFill="1" applyBorder="1"/>
    <xf numFmtId="171" fontId="21" fillId="3" borderId="12" xfId="2" applyNumberFormat="1" applyFont="1" applyFill="1" applyBorder="1"/>
    <xf numFmtId="171" fontId="21" fillId="3" borderId="2" xfId="2" applyNumberFormat="1" applyFont="1" applyFill="1" applyBorder="1"/>
    <xf numFmtId="171" fontId="0" fillId="3" borderId="11" xfId="2" applyNumberFormat="1" applyFont="1" applyFill="1" applyBorder="1"/>
    <xf numFmtId="171" fontId="0" fillId="3" borderId="12" xfId="2" applyNumberFormat="1" applyFont="1" applyFill="1" applyBorder="1"/>
    <xf numFmtId="171" fontId="0" fillId="3" borderId="2" xfId="2" applyNumberFormat="1" applyFont="1" applyFill="1" applyBorder="1"/>
    <xf numFmtId="170" fontId="21" fillId="0" borderId="1" xfId="0" applyNumberFormat="1" applyFont="1" applyBorder="1"/>
    <xf numFmtId="170" fontId="9" fillId="0" borderId="1" xfId="0" applyNumberFormat="1" applyFont="1" applyBorder="1" applyAlignment="1">
      <alignment wrapText="1"/>
    </xf>
    <xf numFmtId="0" fontId="2" fillId="0" borderId="0" xfId="0" applyFont="1"/>
    <xf numFmtId="0" fontId="9" fillId="3" borderId="40" xfId="0" applyFont="1" applyFill="1" applyBorder="1"/>
    <xf numFmtId="0" fontId="0" fillId="2" borderId="7" xfId="0" applyFill="1" applyBorder="1" applyProtection="1">
      <protection locked="0"/>
    </xf>
    <xf numFmtId="0" fontId="78" fillId="2" borderId="7" xfId="0" applyFont="1" applyFill="1" applyBorder="1" applyAlignment="1" applyProtection="1">
      <alignment wrapText="1"/>
      <protection locked="0"/>
    </xf>
    <xf numFmtId="0" fontId="9" fillId="3" borderId="4" xfId="0" applyFont="1" applyFill="1" applyBorder="1"/>
    <xf numFmtId="0" fontId="43" fillId="3" borderId="41" xfId="0" applyFont="1" applyFill="1" applyBorder="1"/>
    <xf numFmtId="0" fontId="2" fillId="0" borderId="0" xfId="0" applyFont="1" applyAlignment="1">
      <alignment wrapText="1"/>
    </xf>
    <xf numFmtId="0" fontId="9" fillId="9" borderId="4" xfId="0" applyFont="1" applyFill="1" applyBorder="1" applyAlignment="1">
      <alignment wrapText="1"/>
    </xf>
    <xf numFmtId="167" fontId="9" fillId="12" borderId="4" xfId="0" applyNumberFormat="1" applyFont="1" applyFill="1" applyBorder="1" applyAlignment="1" applyProtection="1">
      <alignment wrapText="1"/>
      <protection locked="0"/>
    </xf>
    <xf numFmtId="167" fontId="21" fillId="0" borderId="4" xfId="0" applyNumberFormat="1" applyFont="1" applyBorder="1"/>
    <xf numFmtId="167" fontId="21" fillId="0" borderId="26" xfId="0" applyNumberFormat="1" applyFont="1" applyBorder="1"/>
    <xf numFmtId="0" fontId="9" fillId="0" borderId="4" xfId="0" applyFont="1" applyBorder="1" applyAlignment="1">
      <alignment wrapText="1"/>
    </xf>
    <xf numFmtId="0" fontId="21" fillId="0" borderId="4" xfId="0" applyFont="1" applyBorder="1"/>
    <xf numFmtId="0" fontId="21" fillId="0" borderId="26" xfId="0" applyFont="1" applyBorder="1"/>
    <xf numFmtId="0" fontId="9" fillId="0" borderId="3" xfId="0" applyFont="1" applyBorder="1" applyAlignment="1">
      <alignment wrapText="1"/>
    </xf>
    <xf numFmtId="0" fontId="58" fillId="0" borderId="0" xfId="0" applyFont="1" applyFill="1" applyBorder="1"/>
    <xf numFmtId="0" fontId="0" fillId="0" borderId="0" xfId="0" applyFill="1" applyBorder="1" applyProtection="1">
      <protection locked="0"/>
    </xf>
    <xf numFmtId="165" fontId="0" fillId="0" borderId="0" xfId="0" applyNumberFormat="1" applyFill="1" applyBorder="1"/>
    <xf numFmtId="165" fontId="43" fillId="3" borderId="2" xfId="0" applyNumberFormat="1" applyFont="1" applyFill="1" applyBorder="1"/>
    <xf numFmtId="166" fontId="0" fillId="0" borderId="0" xfId="0" applyNumberFormat="1" applyFill="1" applyBorder="1"/>
    <xf numFmtId="2" fontId="21" fillId="0" borderId="0" xfId="0" applyNumberFormat="1" applyFont="1" applyFill="1" applyBorder="1"/>
    <xf numFmtId="168" fontId="59" fillId="0" borderId="0" xfId="0" applyNumberFormat="1" applyFont="1" applyBorder="1"/>
    <xf numFmtId="0" fontId="60" fillId="0" borderId="0" xfId="0" applyFont="1" applyFill="1" applyAlignment="1">
      <alignment horizontal="center" vertical="center" wrapText="1"/>
    </xf>
    <xf numFmtId="0" fontId="2" fillId="0" borderId="0" xfId="0" applyFont="1" applyFill="1"/>
    <xf numFmtId="2" fontId="0" fillId="3" borderId="2" xfId="0" applyNumberFormat="1" applyFill="1" applyBorder="1"/>
    <xf numFmtId="2" fontId="0" fillId="3" borderId="5" xfId="0" applyNumberFormat="1" applyFill="1" applyBorder="1"/>
    <xf numFmtId="164" fontId="0" fillId="0" borderId="26" xfId="0" applyNumberFormat="1" applyFill="1" applyBorder="1"/>
    <xf numFmtId="168" fontId="59" fillId="0" borderId="7" xfId="0" applyNumberFormat="1" applyFont="1" applyBorder="1"/>
    <xf numFmtId="164" fontId="0" fillId="0" borderId="7" xfId="0" applyNumberFormat="1" applyBorder="1"/>
    <xf numFmtId="166" fontId="0" fillId="3" borderId="8" xfId="0" applyNumberFormat="1" applyFill="1" applyBorder="1"/>
    <xf numFmtId="168" fontId="59" fillId="0" borderId="26" xfId="0" applyNumberFormat="1" applyFont="1" applyFill="1" applyBorder="1"/>
    <xf numFmtId="166" fontId="0" fillId="0" borderId="26" xfId="0" applyNumberFormat="1" applyFill="1" applyBorder="1"/>
    <xf numFmtId="0" fontId="0" fillId="0" borderId="26" xfId="0" applyFill="1" applyBorder="1" applyProtection="1">
      <protection locked="0"/>
    </xf>
    <xf numFmtId="0" fontId="67" fillId="9" borderId="0" xfId="0" applyFont="1" applyFill="1"/>
    <xf numFmtId="0" fontId="21" fillId="0" borderId="3" xfId="0" applyFont="1" applyBorder="1"/>
    <xf numFmtId="0" fontId="59" fillId="0" borderId="6" xfId="0" applyFont="1" applyBorder="1"/>
    <xf numFmtId="0" fontId="63" fillId="0" borderId="6" xfId="1" applyFont="1" applyFill="1" applyBorder="1"/>
    <xf numFmtId="0" fontId="21" fillId="3" borderId="0" xfId="0" applyFont="1" applyFill="1" applyBorder="1" applyAlignment="1"/>
    <xf numFmtId="0" fontId="22" fillId="3" borderId="0" xfId="0" applyFont="1" applyFill="1" applyBorder="1" applyAlignment="1"/>
    <xf numFmtId="166" fontId="22" fillId="3" borderId="17" xfId="0" applyNumberFormat="1" applyFont="1" applyFill="1" applyBorder="1" applyAlignment="1"/>
    <xf numFmtId="0" fontId="83" fillId="11" borderId="0" xfId="0" applyFont="1" applyFill="1" applyAlignment="1">
      <alignment wrapText="1"/>
    </xf>
    <xf numFmtId="0" fontId="84" fillId="11" borderId="0" xfId="0" applyFont="1" applyFill="1"/>
    <xf numFmtId="0" fontId="83" fillId="11" borderId="7" xfId="0" applyFont="1" applyFill="1" applyBorder="1"/>
    <xf numFmtId="0" fontId="83" fillId="9" borderId="0" xfId="0" applyFont="1" applyFill="1" applyBorder="1" applyAlignment="1">
      <alignment wrapText="1"/>
    </xf>
    <xf numFmtId="166" fontId="83" fillId="9" borderId="0" xfId="0" applyNumberFormat="1" applyFont="1" applyFill="1" applyBorder="1" applyAlignment="1">
      <alignment wrapText="1"/>
    </xf>
    <xf numFmtId="2" fontId="84" fillId="9" borderId="5" xfId="0" applyNumberFormat="1" applyFont="1" applyFill="1" applyBorder="1"/>
    <xf numFmtId="2" fontId="0" fillId="9" borderId="0" xfId="0" applyNumberFormat="1" applyFill="1" applyBorder="1"/>
    <xf numFmtId="0" fontId="0" fillId="9" borderId="0" xfId="0" applyNumberFormat="1" applyFill="1" applyBorder="1"/>
    <xf numFmtId="2" fontId="83" fillId="11" borderId="7" xfId="0" applyNumberFormat="1" applyFont="1" applyFill="1" applyBorder="1"/>
    <xf numFmtId="2" fontId="0" fillId="0" borderId="0" xfId="0" applyNumberForma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9" fontId="59" fillId="0" borderId="0" xfId="14" applyNumberFormat="1" applyFont="1" applyBorder="1"/>
    <xf numFmtId="166" fontId="2" fillId="0" borderId="0" xfId="0" applyNumberFormat="1" applyFont="1" applyFill="1" applyBorder="1"/>
    <xf numFmtId="2" fontId="84" fillId="11" borderId="18" xfId="0" applyNumberFormat="1" applyFont="1" applyFill="1" applyBorder="1"/>
    <xf numFmtId="2" fontId="85" fillId="11" borderId="18" xfId="0" applyNumberFormat="1" applyFont="1" applyFill="1" applyBorder="1"/>
    <xf numFmtId="165" fontId="0" fillId="13" borderId="0" xfId="0" applyNumberFormat="1" applyFill="1" applyBorder="1"/>
    <xf numFmtId="0" fontId="0" fillId="13" borderId="0" xfId="0" applyFill="1"/>
    <xf numFmtId="0" fontId="0" fillId="13" borderId="0" xfId="0" applyNumberFormat="1" applyFill="1" applyBorder="1"/>
    <xf numFmtId="164" fontId="0" fillId="13" borderId="0" xfId="0" applyNumberFormat="1" applyFill="1"/>
    <xf numFmtId="0" fontId="2" fillId="13" borderId="0" xfId="0" applyFont="1" applyFill="1"/>
    <xf numFmtId="0" fontId="54" fillId="13" borderId="0" xfId="0" applyFont="1" applyFill="1"/>
    <xf numFmtId="0" fontId="0" fillId="13" borderId="0" xfId="0" applyFill="1" applyBorder="1"/>
    <xf numFmtId="0" fontId="86" fillId="13" borderId="7" xfId="0" applyFont="1" applyFill="1" applyBorder="1"/>
    <xf numFmtId="0" fontId="86" fillId="13" borderId="26" xfId="0" applyFont="1" applyFill="1" applyBorder="1"/>
    <xf numFmtId="0" fontId="86" fillId="13" borderId="42" xfId="0" applyFont="1" applyFill="1" applyBorder="1"/>
    <xf numFmtId="0" fontId="86" fillId="13" borderId="8" xfId="0" applyFont="1" applyFill="1" applyBorder="1"/>
    <xf numFmtId="0" fontId="86" fillId="13" borderId="43" xfId="0" applyFont="1" applyFill="1" applyBorder="1"/>
    <xf numFmtId="0" fontId="86" fillId="13" borderId="3" xfId="0" applyFont="1" applyFill="1" applyBorder="1"/>
    <xf numFmtId="0" fontId="86" fillId="13" borderId="44" xfId="0" applyFont="1" applyFill="1" applyBorder="1"/>
    <xf numFmtId="0" fontId="86" fillId="13" borderId="0" xfId="0" applyFont="1" applyFill="1" applyBorder="1"/>
    <xf numFmtId="0" fontId="86" fillId="13" borderId="30" xfId="0" applyFont="1" applyFill="1" applyBorder="1"/>
    <xf numFmtId="0" fontId="86" fillId="13" borderId="0" xfId="14" applyNumberFormat="1" applyFont="1" applyFill="1" applyBorder="1"/>
    <xf numFmtId="0" fontId="86" fillId="13" borderId="6" xfId="0" applyFont="1" applyFill="1" applyBorder="1"/>
    <xf numFmtId="0" fontId="86" fillId="13" borderId="3" xfId="14" applyNumberFormat="1" applyFont="1" applyFill="1" applyBorder="1"/>
    <xf numFmtId="0" fontId="89" fillId="14" borderId="0" xfId="0" applyFont="1" applyFill="1" applyAlignment="1">
      <alignment wrapText="1"/>
    </xf>
    <xf numFmtId="0" fontId="89" fillId="14" borderId="7" xfId="0" applyFont="1" applyFill="1" applyBorder="1"/>
    <xf numFmtId="165" fontId="2" fillId="13" borderId="0" xfId="0" applyNumberFormat="1" applyFont="1" applyFill="1" applyBorder="1"/>
    <xf numFmtId="0" fontId="2" fillId="0" borderId="1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9" fillId="2" borderId="6" xfId="0" applyFont="1" applyFill="1" applyBorder="1"/>
    <xf numFmtId="0" fontId="9" fillId="15" borderId="2" xfId="0" applyFont="1" applyFill="1" applyBorder="1" applyAlignment="1">
      <alignment vertical="center"/>
    </xf>
    <xf numFmtId="0" fontId="60" fillId="15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Protection="1">
      <protection locked="0"/>
    </xf>
    <xf numFmtId="0" fontId="2" fillId="0" borderId="6" xfId="0" quotePrefix="1" applyFont="1" applyFill="1" applyBorder="1" applyAlignment="1" applyProtection="1">
      <alignment horizontal="right"/>
    </xf>
    <xf numFmtId="0" fontId="54" fillId="11" borderId="29" xfId="0" applyFont="1" applyFill="1" applyBorder="1"/>
    <xf numFmtId="0" fontId="0" fillId="11" borderId="26" xfId="0" applyFill="1" applyBorder="1"/>
    <xf numFmtId="0" fontId="0" fillId="11" borderId="42" xfId="0" applyFill="1" applyBorder="1"/>
    <xf numFmtId="0" fontId="54" fillId="11" borderId="27" xfId="0" applyFont="1" applyFill="1" applyBorder="1"/>
    <xf numFmtId="0" fontId="0" fillId="11" borderId="0" xfId="0" applyFill="1" applyBorder="1"/>
    <xf numFmtId="0" fontId="0" fillId="11" borderId="30" xfId="0" applyFill="1" applyBorder="1"/>
    <xf numFmtId="0" fontId="0" fillId="11" borderId="27" xfId="0" applyFill="1" applyBorder="1"/>
    <xf numFmtId="0" fontId="2" fillId="11" borderId="0" xfId="0" applyFont="1" applyFill="1" applyBorder="1"/>
    <xf numFmtId="0" fontId="21" fillId="11" borderId="0" xfId="0" applyFont="1" applyFill="1" applyBorder="1"/>
    <xf numFmtId="167" fontId="0" fillId="11" borderId="0" xfId="0" applyNumberFormat="1" applyFill="1" applyBorder="1"/>
    <xf numFmtId="0" fontId="2" fillId="11" borderId="27" xfId="0" applyFont="1" applyFill="1" applyBorder="1"/>
    <xf numFmtId="0" fontId="0" fillId="11" borderId="43" xfId="0" applyFill="1" applyBorder="1"/>
    <xf numFmtId="9" fontId="0" fillId="2" borderId="1" xfId="14" applyFont="1" applyFill="1" applyBorder="1" applyProtection="1">
      <protection locked="0"/>
    </xf>
    <xf numFmtId="165" fontId="0" fillId="0" borderId="0" xfId="0" applyNumberFormat="1"/>
    <xf numFmtId="166" fontId="43" fillId="3" borderId="19" xfId="0" applyNumberFormat="1" applyFont="1" applyFill="1" applyBorder="1"/>
    <xf numFmtId="0" fontId="43" fillId="3" borderId="19" xfId="0" applyFont="1" applyFill="1" applyBorder="1" applyAlignment="1">
      <alignment horizontal="right"/>
    </xf>
    <xf numFmtId="0" fontId="43" fillId="3" borderId="9" xfId="0" applyFont="1" applyFill="1" applyBorder="1" applyAlignment="1">
      <alignment horizontal="right"/>
    </xf>
    <xf numFmtId="2" fontId="43" fillId="3" borderId="22" xfId="0" applyNumberFormat="1" applyFont="1" applyFill="1" applyBorder="1"/>
    <xf numFmtId="0" fontId="43" fillId="3" borderId="10" xfId="0" applyFont="1" applyFill="1" applyBorder="1"/>
    <xf numFmtId="9" fontId="92" fillId="2" borderId="1" xfId="14" applyFont="1" applyFill="1" applyBorder="1" applyProtection="1">
      <protection locked="0"/>
    </xf>
    <xf numFmtId="2" fontId="87" fillId="0" borderId="0" xfId="0" applyNumberFormat="1" applyFont="1" applyFill="1" applyBorder="1"/>
    <xf numFmtId="2" fontId="88" fillId="0" borderId="0" xfId="0" applyNumberFormat="1" applyFont="1" applyFill="1" applyBorder="1"/>
    <xf numFmtId="0" fontId="89" fillId="0" borderId="0" xfId="0" applyFont="1" applyFill="1"/>
    <xf numFmtId="9" fontId="0" fillId="4" borderId="1" xfId="14" applyFont="1" applyFill="1" applyBorder="1"/>
    <xf numFmtId="0" fontId="22" fillId="16" borderId="0" xfId="0" applyFont="1" applyFill="1" applyAlignment="1">
      <alignment horizontal="center" vertical="center" wrapText="1"/>
    </xf>
    <xf numFmtId="0" fontId="93" fillId="2" borderId="1" xfId="0" applyFont="1" applyFill="1" applyBorder="1" applyAlignment="1" applyProtection="1">
      <alignment horizontal="center" vertical="center"/>
      <protection locked="0"/>
    </xf>
    <xf numFmtId="0" fontId="2" fillId="14" borderId="0" xfId="0" applyFont="1" applyFill="1" applyAlignment="1">
      <alignment wrapText="1"/>
    </xf>
    <xf numFmtId="0" fontId="2" fillId="14" borderId="0" xfId="0" applyFont="1" applyFill="1"/>
    <xf numFmtId="0" fontId="2" fillId="14" borderId="1" xfId="0" applyFont="1" applyFill="1" applyBorder="1"/>
    <xf numFmtId="9" fontId="21" fillId="2" borderId="1" xfId="14" applyFont="1" applyFill="1" applyBorder="1" applyProtection="1">
      <protection locked="0"/>
    </xf>
    <xf numFmtId="0" fontId="9" fillId="14" borderId="0" xfId="0" applyFont="1" applyFill="1" applyAlignment="1">
      <alignment wrapText="1"/>
    </xf>
    <xf numFmtId="0" fontId="83" fillId="9" borderId="0" xfId="0" applyFont="1" applyFill="1"/>
    <xf numFmtId="0" fontId="2" fillId="0" borderId="0" xfId="0" applyFont="1" applyBorder="1" applyAlignment="1">
      <alignment horizontal="center" wrapText="1"/>
    </xf>
    <xf numFmtId="9" fontId="0" fillId="13" borderId="0" xfId="14" applyFont="1" applyFill="1"/>
    <xf numFmtId="0" fontId="3" fillId="3" borderId="25" xfId="0" applyFont="1" applyFill="1" applyBorder="1"/>
    <xf numFmtId="0" fontId="2" fillId="9" borderId="0" xfId="0" applyFont="1" applyFill="1" applyAlignment="1">
      <alignment wrapText="1"/>
    </xf>
    <xf numFmtId="0" fontId="9" fillId="11" borderId="27" xfId="0" applyFont="1" applyFill="1" applyBorder="1"/>
    <xf numFmtId="2" fontId="43" fillId="3" borderId="1" xfId="0" applyNumberFormat="1" applyFont="1" applyFill="1" applyBorder="1" applyAlignment="1">
      <alignment horizontal="right"/>
    </xf>
    <xf numFmtId="9" fontId="63" fillId="0" borderId="0" xfId="14" applyFont="1" applyFill="1"/>
    <xf numFmtId="165" fontId="21" fillId="0" borderId="5" xfId="0" applyNumberFormat="1" applyFont="1" applyBorder="1"/>
    <xf numFmtId="0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4" fillId="4" borderId="0" xfId="0" applyFont="1" applyFill="1" applyAlignment="1">
      <alignment horizontal="right"/>
    </xf>
    <xf numFmtId="9" fontId="0" fillId="4" borderId="0" xfId="14" applyFont="1" applyFill="1" applyBorder="1"/>
    <xf numFmtId="0" fontId="27" fillId="13" borderId="0" xfId="4" applyFill="1" applyAlignment="1" applyProtection="1"/>
    <xf numFmtId="0" fontId="0" fillId="0" borderId="0" xfId="0" applyFill="1" applyBorder="1" applyProtection="1"/>
    <xf numFmtId="166" fontId="0" fillId="0" borderId="0" xfId="0" applyNumberFormat="1" applyFill="1" applyBorder="1" applyProtection="1"/>
    <xf numFmtId="2" fontId="0" fillId="0" borderId="0" xfId="0" applyNumberFormat="1" applyFill="1" applyBorder="1" applyProtection="1"/>
    <xf numFmtId="0" fontId="0" fillId="0" borderId="0" xfId="0" applyProtection="1"/>
    <xf numFmtId="168" fontId="59" fillId="0" borderId="0" xfId="0" applyNumberFormat="1" applyFont="1" applyBorder="1" applyProtection="1"/>
    <xf numFmtId="0" fontId="2" fillId="0" borderId="0" xfId="0" applyFont="1" applyFill="1" applyBorder="1" applyProtection="1"/>
    <xf numFmtId="9" fontId="59" fillId="0" borderId="0" xfId="14" applyNumberFormat="1" applyFont="1" applyBorder="1" applyProtection="1"/>
    <xf numFmtId="166" fontId="2" fillId="0" borderId="0" xfId="0" applyNumberFormat="1" applyFont="1" applyFill="1" applyBorder="1" applyProtection="1"/>
    <xf numFmtId="165" fontId="0" fillId="16" borderId="0" xfId="0" applyNumberFormat="1" applyFill="1"/>
    <xf numFmtId="2" fontId="63" fillId="0" borderId="0" xfId="6" applyNumberFormat="1" applyFont="1" applyFill="1"/>
    <xf numFmtId="2" fontId="2" fillId="0" borderId="0" xfId="0" applyNumberFormat="1" applyFont="1"/>
    <xf numFmtId="165" fontId="0" fillId="13" borderId="0" xfId="0" applyNumberFormat="1" applyFill="1"/>
    <xf numFmtId="0" fontId="0" fillId="13" borderId="0" xfId="0" applyFont="1" applyFill="1"/>
    <xf numFmtId="0" fontId="2" fillId="0" borderId="0" xfId="0" applyFont="1" applyFill="1" applyAlignment="1">
      <alignment wrapText="1"/>
    </xf>
    <xf numFmtId="167" fontId="0" fillId="13" borderId="0" xfId="0" applyNumberFormat="1" applyFill="1"/>
    <xf numFmtId="2" fontId="2" fillId="0" borderId="0" xfId="0" applyNumberFormat="1" applyFont="1" applyAlignment="1">
      <alignment wrapText="1"/>
    </xf>
    <xf numFmtId="0" fontId="2" fillId="9" borderId="0" xfId="0" applyFont="1" applyFill="1"/>
    <xf numFmtId="0" fontId="2" fillId="2" borderId="1" xfId="0" applyFont="1" applyFill="1" applyBorder="1" applyProtection="1">
      <protection locked="0"/>
    </xf>
    <xf numFmtId="166" fontId="2" fillId="3" borderId="6" xfId="0" applyNumberFormat="1" applyFont="1" applyFill="1" applyBorder="1"/>
    <xf numFmtId="164" fontId="2" fillId="0" borderId="1" xfId="0" applyNumberFormat="1" applyFont="1" applyBorder="1"/>
    <xf numFmtId="2" fontId="2" fillId="3" borderId="6" xfId="0" applyNumberFormat="1" applyFont="1" applyFill="1" applyBorder="1"/>
    <xf numFmtId="9" fontId="2" fillId="2" borderId="1" xfId="14" applyFont="1" applyFill="1" applyBorder="1" applyProtection="1">
      <protection locked="0"/>
    </xf>
    <xf numFmtId="2" fontId="2" fillId="0" borderId="0" xfId="0" applyNumberFormat="1" applyFont="1" applyFill="1"/>
    <xf numFmtId="166" fontId="2" fillId="3" borderId="8" xfId="0" applyNumberFormat="1" applyFont="1" applyFill="1" applyBorder="1"/>
    <xf numFmtId="164" fontId="2" fillId="0" borderId="7" xfId="0" applyNumberFormat="1" applyFont="1" applyBorder="1"/>
    <xf numFmtId="0" fontId="91" fillId="7" borderId="0" xfId="6" applyFont="1" applyAlignment="1">
      <alignment horizontal="right"/>
    </xf>
    <xf numFmtId="2" fontId="91" fillId="7" borderId="0" xfId="6" applyNumberFormat="1" applyFont="1" applyAlignment="1">
      <alignment horizontal="right"/>
    </xf>
    <xf numFmtId="2" fontId="2" fillId="3" borderId="2" xfId="0" applyNumberFormat="1" applyFont="1" applyFill="1" applyBorder="1"/>
    <xf numFmtId="2" fontId="2" fillId="3" borderId="5" xfId="0" applyNumberFormat="1" applyFont="1" applyFill="1" applyBorder="1"/>
    <xf numFmtId="0" fontId="24" fillId="0" borderId="0" xfId="0" applyFont="1" applyFill="1" applyAlignment="1">
      <alignment horizontal="right"/>
    </xf>
    <xf numFmtId="0" fontId="60" fillId="0" borderId="0" xfId="0" applyFont="1" applyAlignment="1">
      <alignment horizontal="center"/>
    </xf>
    <xf numFmtId="0" fontId="56" fillId="17" borderId="0" xfId="0" applyFont="1" applyFill="1" applyAlignment="1">
      <alignment wrapText="1"/>
    </xf>
    <xf numFmtId="9" fontId="60" fillId="17" borderId="1" xfId="14" applyFont="1" applyFill="1" applyBorder="1" applyAlignment="1" applyProtection="1">
      <alignment wrapText="1"/>
      <protection locked="0"/>
    </xf>
    <xf numFmtId="0" fontId="24" fillId="9" borderId="0" xfId="0" applyFont="1" applyFill="1" applyAlignment="1">
      <alignment horizontal="right"/>
    </xf>
    <xf numFmtId="0" fontId="60" fillId="14" borderId="0" xfId="0" applyFont="1" applyFill="1" applyAlignment="1">
      <alignment wrapText="1"/>
    </xf>
    <xf numFmtId="9" fontId="24" fillId="4" borderId="0" xfId="14" applyFont="1" applyFill="1" applyBorder="1" applyAlignment="1">
      <alignment horizontal="right"/>
    </xf>
    <xf numFmtId="0" fontId="24" fillId="4" borderId="1" xfId="0" applyFont="1" applyFill="1" applyBorder="1"/>
    <xf numFmtId="0" fontId="24" fillId="9" borderId="1" xfId="0" applyFont="1" applyFill="1" applyBorder="1"/>
    <xf numFmtId="0" fontId="24" fillId="0" borderId="1" xfId="0" applyFont="1" applyFill="1" applyBorder="1"/>
    <xf numFmtId="9" fontId="24" fillId="4" borderId="1" xfId="14" applyFont="1" applyFill="1" applyBorder="1"/>
    <xf numFmtId="0" fontId="22" fillId="4" borderId="1" xfId="0" applyFont="1" applyFill="1" applyBorder="1"/>
    <xf numFmtId="2" fontId="43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2" fontId="94" fillId="0" borderId="0" xfId="6" applyNumberFormat="1" applyFont="1" applyFill="1" applyAlignment="1">
      <alignment horizontal="right"/>
    </xf>
    <xf numFmtId="0" fontId="91" fillId="0" borderId="0" xfId="0" applyFont="1" applyFill="1" applyAlignment="1">
      <alignment wrapText="1"/>
    </xf>
    <xf numFmtId="9" fontId="2" fillId="0" borderId="0" xfId="14" applyFont="1" applyFill="1" applyAlignment="1">
      <alignment wrapText="1"/>
    </xf>
    <xf numFmtId="0" fontId="2" fillId="2" borderId="7" xfId="0" applyFont="1" applyFill="1" applyBorder="1" applyProtection="1">
      <protection locked="0"/>
    </xf>
    <xf numFmtId="9" fontId="92" fillId="2" borderId="7" xfId="14" applyFont="1" applyFill="1" applyBorder="1" applyProtection="1">
      <protection locked="0"/>
    </xf>
    <xf numFmtId="0" fontId="43" fillId="0" borderId="26" xfId="0" applyFont="1" applyFill="1" applyBorder="1" applyAlignment="1">
      <alignment horizontal="right"/>
    </xf>
    <xf numFmtId="0" fontId="2" fillId="0" borderId="0" xfId="0" applyFont="1" applyFill="1" applyAlignment="1">
      <alignment vertical="top" wrapText="1"/>
    </xf>
    <xf numFmtId="0" fontId="90" fillId="0" borderId="0" xfId="0" applyFont="1" applyFill="1" applyAlignment="1">
      <alignment vertical="center" wrapText="1"/>
    </xf>
    <xf numFmtId="166" fontId="0" fillId="0" borderId="0" xfId="0" applyNumberFormat="1" applyProtection="1"/>
    <xf numFmtId="9" fontId="0" fillId="0" borderId="0" xfId="14" applyFont="1" applyFill="1" applyBorder="1" applyProtection="1"/>
    <xf numFmtId="0" fontId="5" fillId="0" borderId="1" xfId="0" applyFont="1" applyFill="1" applyBorder="1" applyProtection="1"/>
    <xf numFmtId="0" fontId="21" fillId="0" borderId="7" xfId="0" applyFont="1" applyBorder="1" applyAlignment="1">
      <alignment horizontal="right"/>
    </xf>
    <xf numFmtId="11" fontId="63" fillId="0" borderId="7" xfId="1" applyNumberFormat="1" applyFont="1" applyFill="1" applyBorder="1" applyAlignment="1">
      <alignment horizontal="center"/>
    </xf>
    <xf numFmtId="0" fontId="63" fillId="0" borderId="7" xfId="1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7" xfId="0" applyFont="1" applyFill="1" applyBorder="1"/>
    <xf numFmtId="0" fontId="2" fillId="15" borderId="5" xfId="0" applyFont="1" applyFill="1" applyBorder="1" applyAlignment="1">
      <alignment vertical="center"/>
    </xf>
    <xf numFmtId="0" fontId="0" fillId="9" borderId="4" xfId="0" applyFill="1" applyBorder="1" applyProtection="1"/>
    <xf numFmtId="165" fontId="0" fillId="9" borderId="5" xfId="0" applyNumberFormat="1" applyFill="1" applyBorder="1" applyProtection="1"/>
    <xf numFmtId="2" fontId="2" fillId="9" borderId="1" xfId="0" applyNumberFormat="1" applyFont="1" applyFill="1" applyBorder="1" applyProtection="1"/>
    <xf numFmtId="9" fontId="2" fillId="9" borderId="1" xfId="14" applyFont="1" applyFill="1" applyBorder="1" applyProtection="1"/>
    <xf numFmtId="0" fontId="0" fillId="9" borderId="1" xfId="0" applyFill="1" applyBorder="1" applyProtection="1"/>
    <xf numFmtId="0" fontId="2" fillId="14" borderId="1" xfId="0" applyFont="1" applyFill="1" applyBorder="1" applyProtection="1"/>
    <xf numFmtId="0" fontId="0" fillId="0" borderId="0" xfId="0" applyBorder="1" applyProtection="1"/>
    <xf numFmtId="0" fontId="9" fillId="0" borderId="4" xfId="0" applyFont="1" applyBorder="1" applyProtection="1"/>
    <xf numFmtId="165" fontId="9" fillId="3" borderId="36" xfId="0" applyNumberFormat="1" applyFont="1" applyFill="1" applyBorder="1"/>
    <xf numFmtId="165" fontId="43" fillId="3" borderId="41" xfId="0" applyNumberFormat="1" applyFont="1" applyFill="1" applyBorder="1"/>
    <xf numFmtId="166" fontId="9" fillId="2" borderId="1" xfId="0" applyNumberFormat="1" applyFont="1" applyFill="1" applyBorder="1" applyAlignment="1" applyProtection="1">
      <alignment wrapText="1"/>
      <protection locked="0"/>
    </xf>
    <xf numFmtId="166" fontId="21" fillId="0" borderId="2" xfId="0" applyNumberFormat="1" applyFont="1" applyBorder="1"/>
    <xf numFmtId="165" fontId="9" fillId="0" borderId="36" xfId="0" applyNumberFormat="1" applyFont="1" applyFill="1" applyBorder="1"/>
    <xf numFmtId="0" fontId="15" fillId="0" borderId="21" xfId="0" applyFont="1" applyFill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top" wrapText="1"/>
    </xf>
    <xf numFmtId="0" fontId="59" fillId="0" borderId="1" xfId="0" applyFont="1" applyBorder="1"/>
    <xf numFmtId="0" fontId="59" fillId="0" borderId="4" xfId="0" applyFont="1" applyBorder="1"/>
    <xf numFmtId="0" fontId="59" fillId="0" borderId="0" xfId="0" applyFont="1" applyFill="1" applyBorder="1"/>
    <xf numFmtId="0" fontId="59" fillId="0" borderId="0" xfId="0" applyFont="1" applyBorder="1"/>
    <xf numFmtId="0" fontId="2" fillId="0" borderId="26" xfId="0" applyFont="1" applyBorder="1"/>
    <xf numFmtId="2" fontId="0" fillId="3" borderId="43" xfId="0" applyNumberFormat="1" applyFill="1" applyBorder="1"/>
    <xf numFmtId="0" fontId="0" fillId="0" borderId="27" xfId="0" applyBorder="1"/>
    <xf numFmtId="0" fontId="87" fillId="0" borderId="27" xfId="0" applyFont="1" applyFill="1" applyBorder="1"/>
    <xf numFmtId="0" fontId="43" fillId="3" borderId="45" xfId="0" applyFont="1" applyFill="1" applyBorder="1" applyAlignment="1">
      <alignment horizontal="right"/>
    </xf>
    <xf numFmtId="0" fontId="0" fillId="11" borderId="3" xfId="0" applyFill="1" applyBorder="1" applyAlignment="1">
      <alignment wrapText="1"/>
    </xf>
    <xf numFmtId="166" fontId="0" fillId="11" borderId="3" xfId="0" applyNumberFormat="1" applyFill="1" applyBorder="1"/>
    <xf numFmtId="2" fontId="56" fillId="0" borderId="1" xfId="0" applyNumberFormat="1" applyFont="1" applyFill="1" applyBorder="1" applyAlignment="1">
      <alignment horizontal="right"/>
    </xf>
    <xf numFmtId="0" fontId="9" fillId="0" borderId="46" xfId="0" applyFont="1" applyBorder="1"/>
    <xf numFmtId="0" fontId="0" fillId="0" borderId="18" xfId="0" applyFill="1" applyBorder="1"/>
    <xf numFmtId="2" fontId="9" fillId="3" borderId="47" xfId="0" applyNumberFormat="1" applyFont="1" applyFill="1" applyBorder="1"/>
    <xf numFmtId="2" fontId="9" fillId="3" borderId="10" xfId="0" applyNumberFormat="1" applyFont="1" applyFill="1" applyBorder="1"/>
    <xf numFmtId="0" fontId="9" fillId="0" borderId="3" xfId="0" applyFont="1" applyFill="1" applyBorder="1"/>
    <xf numFmtId="0" fontId="9" fillId="3" borderId="20" xfId="0" applyFont="1" applyFill="1" applyBorder="1"/>
    <xf numFmtId="2" fontId="9" fillId="3" borderId="48" xfId="0" applyNumberFormat="1" applyFont="1" applyFill="1" applyBorder="1"/>
    <xf numFmtId="0" fontId="9" fillId="0" borderId="43" xfId="0" applyFont="1" applyFill="1" applyBorder="1"/>
    <xf numFmtId="0" fontId="2" fillId="0" borderId="1" xfId="0" applyFont="1" applyBorder="1" applyAlignment="1">
      <alignment horizontal="right"/>
    </xf>
    <xf numFmtId="0" fontId="2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wrapText="1"/>
    </xf>
    <xf numFmtId="0" fontId="63" fillId="0" borderId="1" xfId="1" applyFont="1" applyFill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98" fillId="9" borderId="0" xfId="0" applyFont="1" applyFill="1" applyAlignment="1">
      <alignment wrapText="1"/>
    </xf>
    <xf numFmtId="0" fontId="9" fillId="0" borderId="0" xfId="0" applyFont="1" applyAlignment="1"/>
    <xf numFmtId="0" fontId="43" fillId="3" borderId="28" xfId="0" applyFont="1" applyFill="1" applyBorder="1"/>
    <xf numFmtId="0" fontId="2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2" fontId="9" fillId="0" borderId="3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center" vertical="center" wrapText="1"/>
    </xf>
    <xf numFmtId="2" fontId="9" fillId="3" borderId="43" xfId="0" applyNumberFormat="1" applyFont="1" applyFill="1" applyBorder="1"/>
    <xf numFmtId="0" fontId="9" fillId="0" borderId="2" xfId="0" applyFont="1" applyBorder="1" applyProtection="1"/>
    <xf numFmtId="165" fontId="24" fillId="4" borderId="0" xfId="0" applyNumberFormat="1" applyFont="1" applyFill="1"/>
    <xf numFmtId="165" fontId="24" fillId="0" borderId="0" xfId="0" applyNumberFormat="1" applyFont="1" applyFill="1"/>
    <xf numFmtId="165" fontId="24" fillId="9" borderId="0" xfId="0" applyNumberFormat="1" applyFont="1" applyFill="1"/>
    <xf numFmtId="165" fontId="24" fillId="4" borderId="0" xfId="14" applyNumberFormat="1" applyFont="1" applyFill="1" applyBorder="1"/>
    <xf numFmtId="165" fontId="22" fillId="4" borderId="22" xfId="0" applyNumberFormat="1" applyFont="1" applyFill="1" applyBorder="1"/>
    <xf numFmtId="165" fontId="32" fillId="11" borderId="0" xfId="0" applyNumberFormat="1" applyFont="1" applyFill="1"/>
    <xf numFmtId="2" fontId="9" fillId="3" borderId="1" xfId="0" applyNumberFormat="1" applyFont="1" applyFill="1" applyBorder="1" applyAlignment="1">
      <alignment wrapText="1"/>
    </xf>
    <xf numFmtId="2" fontId="22" fillId="3" borderId="30" xfId="0" applyNumberFormat="1" applyFont="1" applyFill="1" applyBorder="1"/>
    <xf numFmtId="2" fontId="22" fillId="0" borderId="30" xfId="0" applyNumberFormat="1" applyFont="1" applyFill="1" applyBorder="1"/>
    <xf numFmtId="2" fontId="75" fillId="4" borderId="30" xfId="0" applyNumberFormat="1" applyFont="1" applyFill="1" applyBorder="1"/>
    <xf numFmtId="0" fontId="43" fillId="3" borderId="22" xfId="0" applyFont="1" applyFill="1" applyBorder="1" applyAlignment="1">
      <alignment horizontal="right"/>
    </xf>
    <xf numFmtId="165" fontId="43" fillId="3" borderId="22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3" borderId="9" xfId="0" applyFont="1" applyFill="1" applyBorder="1" applyAlignment="1">
      <alignment horizontal="center" wrapText="1"/>
    </xf>
    <xf numFmtId="0" fontId="15" fillId="3" borderId="10" xfId="0" applyFont="1" applyFill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67" fillId="9" borderId="0" xfId="0" applyFont="1" applyFill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left" vertical="top" wrapText="1"/>
    </xf>
    <xf numFmtId="0" fontId="90" fillId="14" borderId="0" xfId="0" applyFont="1" applyFill="1" applyAlignment="1">
      <alignment horizontal="left" wrapText="1"/>
    </xf>
    <xf numFmtId="0" fontId="60" fillId="9" borderId="0" xfId="0" applyFont="1" applyFill="1" applyAlignment="1">
      <alignment horizontal="left" vertical="top" wrapText="1"/>
    </xf>
    <xf numFmtId="0" fontId="0" fillId="11" borderId="3" xfId="0" applyFill="1" applyBorder="1" applyAlignment="1">
      <alignment horizontal="left" vertical="top" wrapText="1"/>
    </xf>
    <xf numFmtId="0" fontId="0" fillId="11" borderId="44" xfId="0" applyFill="1" applyBorder="1" applyAlignment="1">
      <alignment horizontal="left" vertical="top" wrapText="1"/>
    </xf>
    <xf numFmtId="0" fontId="2" fillId="11" borderId="0" xfId="0" applyFont="1" applyFill="1" applyBorder="1" applyAlignment="1">
      <alignment horizontal="left" wrapText="1"/>
    </xf>
    <xf numFmtId="0" fontId="2" fillId="11" borderId="30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" fillId="11" borderId="27" xfId="0" applyFont="1" applyFill="1" applyBorder="1" applyAlignment="1">
      <alignment horizontal="left" vertical="top" wrapText="1"/>
    </xf>
    <xf numFmtId="0" fontId="1" fillId="11" borderId="0" xfId="0" applyFont="1" applyFill="1" applyBorder="1" applyAlignment="1">
      <alignment horizontal="left" vertical="top" wrapText="1"/>
    </xf>
    <xf numFmtId="0" fontId="0" fillId="11" borderId="0" xfId="0" applyFill="1" applyBorder="1" applyAlignment="1">
      <alignment horizontal="center" vertical="top" wrapText="1"/>
    </xf>
    <xf numFmtId="0" fontId="0" fillId="11" borderId="0" xfId="0" applyFill="1" applyBorder="1" applyAlignment="1">
      <alignment horizontal="left" vertical="top" wrapText="1"/>
    </xf>
    <xf numFmtId="0" fontId="0" fillId="11" borderId="30" xfId="0" applyFill="1" applyBorder="1" applyAlignment="1">
      <alignment horizontal="left" vertical="top" wrapText="1"/>
    </xf>
    <xf numFmtId="0" fontId="0" fillId="11" borderId="0" xfId="0" applyFill="1" applyBorder="1" applyAlignment="1">
      <alignment horizontal="left" wrapText="1"/>
    </xf>
    <xf numFmtId="0" fontId="0" fillId="11" borderId="30" xfId="0" applyFill="1" applyBorder="1" applyAlignment="1">
      <alignment horizontal="left" wrapText="1"/>
    </xf>
  </cellXfs>
  <cellStyles count="16">
    <cellStyle name="Bad" xfId="1" builtinId="27"/>
    <cellStyle name="Comma" xfId="2" builtinId="3"/>
    <cellStyle name="Currency 2" xfId="3" xr:uid="{00000000-0005-0000-0000-000002000000}"/>
    <cellStyle name="Hyperlink" xfId="4" builtinId="8"/>
    <cellStyle name="Hyperlink 2" xfId="5" xr:uid="{00000000-0005-0000-0000-000004000000}"/>
    <cellStyle name="Neutral" xfId="6" builtinId="28"/>
    <cellStyle name="Normaali 2" xfId="7" xr:uid="{00000000-0005-0000-0000-000006000000}"/>
    <cellStyle name="Normaali 3" xfId="8" xr:uid="{00000000-0005-0000-0000-000007000000}"/>
    <cellStyle name="Normaali 3 2" xfId="9" xr:uid="{00000000-0005-0000-0000-000008000000}"/>
    <cellStyle name="Normaali 3 3" xfId="10" xr:uid="{00000000-0005-0000-0000-000009000000}"/>
    <cellStyle name="Normaali 3 3 2" xfId="11" xr:uid="{00000000-0005-0000-0000-00000A000000}"/>
    <cellStyle name="Normaali 4" xfId="12" xr:uid="{00000000-0005-0000-0000-00000B000000}"/>
    <cellStyle name="Normal" xfId="0" builtinId="0"/>
    <cellStyle name="Normal 2" xfId="13" xr:uid="{00000000-0005-0000-0000-00000D000000}"/>
    <cellStyle name="Percent" xfId="14" builtinId="5"/>
    <cellStyle name="Percent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37103345383618E-2"/>
          <c:y val="8.8443650255291453E-2"/>
          <c:w val="0.60404315688816612"/>
          <c:h val="0.85468083084882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Hiilijalanjälki!$A$4</c:f>
              <c:strCache>
                <c:ptCount val="1"/>
                <c:pt idx="0">
                  <c:v>Vuotuiset sähkönkulutuksen aiheuttamat suorat kasvihuonekaasupäästöt Scope 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Hiilijalanjälki!$B$4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49B-499C-B7B5-772CAF92365A}"/>
            </c:ext>
          </c:extLst>
        </c:ser>
        <c:ser>
          <c:idx val="1"/>
          <c:order val="1"/>
          <c:tx>
            <c:strRef>
              <c:f>Hiilijalanjälki!$A$5</c:f>
              <c:strCache>
                <c:ptCount val="1"/>
                <c:pt idx="0">
                  <c:v>Sähköntuotannon epäsuorat päästöt Scope 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Hiilijalanjälki!$B$5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549B-499C-B7B5-772CAF92365A}"/>
            </c:ext>
          </c:extLst>
        </c:ser>
        <c:ser>
          <c:idx val="2"/>
          <c:order val="2"/>
          <c:tx>
            <c:strRef>
              <c:f>Hiilijalanjälki!$A$6</c:f>
              <c:strCache>
                <c:ptCount val="1"/>
                <c:pt idx="0">
                  <c:v>Vuotuinen fossiilisen lämpöenergian kulutuksen aiheuttama kasvihuonekaasupäästö Scope 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Hiilijalanjälki!$B$6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549B-499C-B7B5-772CAF92365A}"/>
            </c:ext>
          </c:extLst>
        </c:ser>
        <c:ser>
          <c:idx val="3"/>
          <c:order val="3"/>
          <c:tx>
            <c:strRef>
              <c:f>Hiilijalanjälki!$A$7</c:f>
              <c:strCache>
                <c:ptCount val="1"/>
                <c:pt idx="0">
                  <c:v>Vuotuinen fossiilisen lämpöenergian kulutuksen aiheuttama kasvihuonekaasupäästö Scope 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Hiilijalanjälki!$B$7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549B-499C-B7B5-772CAF92365A}"/>
            </c:ext>
          </c:extLst>
        </c:ser>
        <c:ser>
          <c:idx val="4"/>
          <c:order val="4"/>
          <c:tx>
            <c:strRef>
              <c:f>Hiilijalanjälki!$A$8</c:f>
              <c:strCache>
                <c:ptCount val="1"/>
                <c:pt idx="0">
                  <c:v>Hiilineutraalien lämmityspolttoaineiden aiheuttama N2O- ja CH4-päästö Scope 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Hiilijalanjälki!$B$8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549B-499C-B7B5-772CAF92365A}"/>
            </c:ext>
          </c:extLst>
        </c:ser>
        <c:ser>
          <c:idx val="5"/>
          <c:order val="5"/>
          <c:tx>
            <c:strRef>
              <c:f>Hiilijalanjälki!$A$9</c:f>
              <c:strCache>
                <c:ptCount val="1"/>
                <c:pt idx="0">
                  <c:v>Hiilineutraalien lämmityspolttoaineiden aiheuttama N2O- ja CH4-päästö Scope 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Hiilijalanjälki!$B$9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549B-499C-B7B5-772CAF92365A}"/>
            </c:ext>
          </c:extLst>
        </c:ser>
        <c:ser>
          <c:idx val="6"/>
          <c:order val="6"/>
          <c:tx>
            <c:strRef>
              <c:f>Hiilijalanjälki!$A$10</c:f>
              <c:strCache>
                <c:ptCount val="1"/>
                <c:pt idx="0">
                  <c:v>Jätteiden käsittelystä (ei kuljetukset) aiheutuva kasvihuonekaasupäästö Scope 3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fld id="{1654F62D-B04B-4EEB-BBAE-D814C2787186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A-549B-499C-B7B5-772CAF92365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Hiilijalanjälki!$B$10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549B-499C-B7B5-772CAF92365A}"/>
            </c:ext>
          </c:extLst>
        </c:ser>
        <c:ser>
          <c:idx val="7"/>
          <c:order val="7"/>
          <c:tx>
            <c:strRef>
              <c:f>Hiilijalanjälki!$A$11</c:f>
              <c:strCache>
                <c:ptCount val="1"/>
                <c:pt idx="0">
                  <c:v>Jätehuollon kuljetusten päästöt Scope 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Hiilijalanjälki!$B$11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549B-499C-B7B5-772CAF92365A}"/>
            </c:ext>
          </c:extLst>
        </c:ser>
        <c:ser>
          <c:idx val="8"/>
          <c:order val="8"/>
          <c:tx>
            <c:strRef>
              <c:f>Hiilijalanjälki!$A$12</c:f>
              <c:strCache>
                <c:ptCount val="1"/>
                <c:pt idx="0">
                  <c:v>Liikematkustamisesta aiheutuva kasvihuonekaasupäästö Scope 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Hiilijalanjälki!$B$12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549B-499C-B7B5-772CAF92365A}"/>
            </c:ext>
          </c:extLst>
        </c:ser>
        <c:ser>
          <c:idx val="9"/>
          <c:order val="9"/>
          <c:tx>
            <c:strRef>
              <c:f>Hiilijalanjälki!$A$13</c:f>
              <c:strCache>
                <c:ptCount val="1"/>
                <c:pt idx="0">
                  <c:v>Tuotteiden ja raaka-aineiden kuljetuksista aiheutuva kasvihuonekaasupäästö Scope 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Hiilijalanjälki!$B$13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549B-499C-B7B5-772CAF92365A}"/>
            </c:ext>
          </c:extLst>
        </c:ser>
        <c:ser>
          <c:idx val="10"/>
          <c:order val="10"/>
          <c:tx>
            <c:strRef>
              <c:f>Hiilijalanjälki!$A$14</c:f>
              <c:strCache>
                <c:ptCount val="1"/>
                <c:pt idx="0">
                  <c:v>Tuotteiden ja raaka-aineiden kuljetusten polttoaineiden valmistuksen kasvihuonekaasupäästöt Scope 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Hiilijalanjälki!$B$14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549B-499C-B7B5-772CAF923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36864"/>
        <c:axId val="53238400"/>
      </c:barChart>
      <c:catAx>
        <c:axId val="53236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238400"/>
        <c:crosses val="autoZero"/>
        <c:auto val="1"/>
        <c:lblAlgn val="ctr"/>
        <c:lblOffset val="100"/>
        <c:noMultiLvlLbl val="0"/>
      </c:catAx>
      <c:valAx>
        <c:axId val="53238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kg CO</a:t>
                </a:r>
                <a:r>
                  <a:rPr lang="en-US" sz="8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US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ekv</a:t>
                </a:r>
              </a:p>
            </c:rich>
          </c:tx>
          <c:layout>
            <c:manualLayout>
              <c:xMode val="edge"/>
              <c:yMode val="edge"/>
              <c:x val="2.6159407289278711E-2"/>
              <c:y val="0.4162569460833744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36864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013703675531548"/>
          <c:y val="0"/>
          <c:w val="0.28986296324468447"/>
          <c:h val="0.891025611645323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Päästöjen jakautuminen vaikutusalueisiin (scope) 1, 2 ja 3</a:t>
            </a:r>
          </a:p>
        </c:rich>
      </c:tx>
      <c:layout>
        <c:manualLayout>
          <c:xMode val="edge"/>
          <c:yMode val="edge"/>
          <c:x val="0.18463320403533631"/>
          <c:y val="3.30881139857517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11936526743921"/>
          <c:y val="0.18933866015862896"/>
          <c:w val="0.45412882180491188"/>
          <c:h val="0.7279428099302627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357-4503-B4D6-3C8C05ADE6F5}"/>
              </c:ext>
            </c:extLst>
          </c:dPt>
          <c:dPt>
            <c:idx val="1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357-4503-B4D6-3C8C05ADE6F5}"/>
              </c:ext>
            </c:extLst>
          </c:dPt>
          <c:dPt>
            <c:idx val="2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357-4503-B4D6-3C8C05ADE6F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Hiilijalanjälki!$E$9:$G$9</c:f>
              <c:strCache>
                <c:ptCount val="3"/>
                <c:pt idx="0">
                  <c:v>Scope 1 (suorat päästöt polttoaineiden käytöstä omaan lämmön- tai sähköntuotantoon)</c:v>
                </c:pt>
                <c:pt idx="1">
                  <c:v>Scope 2 (Sähkö ja ostolämpö sähkönkulutuksesta)</c:v>
                </c:pt>
                <c:pt idx="2">
                  <c:v>Scope 3 (vapaaehtoinen rajaus, johon kuuluu liikematkustaminen, jätehuolto, kuljetukset)</c:v>
                </c:pt>
              </c:strCache>
            </c:strRef>
          </c:cat>
          <c:val>
            <c:numRef>
              <c:f>Hiilijalanjälki!$E$10:$G$10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57-4503-B4D6-3C8C05ADE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141685829094367"/>
          <c:y val="0.35952455943007128"/>
          <c:w val="0.31120990407172555"/>
          <c:h val="0.373810273715785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Sähkötyyppien vertailu kasvihuonekaasupäästöjen osalta</a:t>
            </a:r>
          </a:p>
        </c:rich>
      </c:tx>
      <c:layout>
        <c:manualLayout>
          <c:xMode val="edge"/>
          <c:yMode val="edge"/>
          <c:x val="0.16645859026657814"/>
          <c:y val="4.59559031093653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475218214002317E-2"/>
          <c:y val="0.1709562659684708"/>
          <c:w val="0.92920695232863337"/>
          <c:h val="0.68198682445486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Sähkönkulutus!$A$16</c:f>
              <c:strCache>
                <c:ptCount val="1"/>
                <c:pt idx="0">
                  <c:v>Sähkötyyppi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Sähkönkulutus!$A$17:$A$22</c:f>
              <c:strCache>
                <c:ptCount val="6"/>
                <c:pt idx="0">
                  <c:v>Yleissähkö (liukuva keskiarvo 2016-2018), Suomi, ei tuontia</c:v>
                </c:pt>
                <c:pt idx="1">
                  <c:v>Aurinkosähkö</c:v>
                </c:pt>
                <c:pt idx="2">
                  <c:v>Tuulivoima</c:v>
                </c:pt>
                <c:pt idx="3">
                  <c:v>Vesivoima</c:v>
                </c:pt>
                <c:pt idx="4">
                  <c:v>Ydinvoima</c:v>
                </c:pt>
                <c:pt idx="5">
                  <c:v>Oman sähköyhtiömme ilmoittama kerroin</c:v>
                </c:pt>
              </c:strCache>
            </c:strRef>
          </c:cat>
          <c:val>
            <c:numRef>
              <c:f>Sähkönkulutus!$E$17:$E$22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F6-4A69-82A4-3CCD23BF8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00128"/>
        <c:axId val="54401664"/>
      </c:barChart>
      <c:catAx>
        <c:axId val="5440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0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401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kg CO</a:t>
                </a:r>
                <a:r>
                  <a:rPr lang="en-US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ekv</a:t>
                </a:r>
              </a:p>
            </c:rich>
          </c:tx>
          <c:layout>
            <c:manualLayout>
              <c:xMode val="edge"/>
              <c:yMode val="edge"/>
              <c:x val="5.0225080876518342E-2"/>
              <c:y val="0.39537312984618339"/>
            </c:manualLayout>
          </c:layout>
          <c:overlay val="0"/>
          <c:spPr>
            <a:solidFill>
              <a:schemeClr val="bg1"/>
            </a:solidFill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00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Polttoaineiden poltossa muodostuvat CO</a:t>
            </a:r>
            <a:r>
              <a:rPr lang="en-US" sz="120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ekv-päästöt </a:t>
            </a:r>
          </a:p>
        </c:rich>
      </c:tx>
      <c:layout>
        <c:manualLayout>
          <c:xMode val="edge"/>
          <c:yMode val="edge"/>
          <c:x val="0.23507146852545072"/>
          <c:y val="3.31491063617047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203912549863774E-2"/>
          <c:y val="0.17311265019396402"/>
          <c:w val="0.89668370948012099"/>
          <c:h val="0.68140085714645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Lämpöenergiankulutus!$A$49:$A$57</c:f>
              <c:strCache>
                <c:ptCount val="9"/>
                <c:pt idx="0">
                  <c:v>Kaukolämpö </c:v>
                </c:pt>
                <c:pt idx="1">
                  <c:v>Nestekaasu</c:v>
                </c:pt>
                <c:pt idx="2">
                  <c:v>Kevyt polttoöljy</c:v>
                </c:pt>
                <c:pt idx="3">
                  <c:v>Raskas polttoöljy </c:v>
                </c:pt>
                <c:pt idx="4">
                  <c:v>Maakaasu</c:v>
                </c:pt>
                <c:pt idx="5">
                  <c:v>Turve</c:v>
                </c:pt>
                <c:pt idx="6">
                  <c:v>Puuperäiset 
polttoaineet BIO</c:v>
                </c:pt>
                <c:pt idx="7">
                  <c:v>Kasviperäiset 
polttoaineet BIO</c:v>
                </c:pt>
                <c:pt idx="8">
                  <c:v>Biokaasu BIO</c:v>
                </c:pt>
              </c:strCache>
            </c:strRef>
          </c:cat>
          <c:val>
            <c:numRef>
              <c:f>Lämpöenergiankulutus!$H$8:$H$16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B6-487D-846B-30A4D8D8F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22912"/>
        <c:axId val="54203520"/>
      </c:barChart>
      <c:catAx>
        <c:axId val="5442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0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203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kg CO</a:t>
                </a:r>
                <a:r>
                  <a:rPr lang="en-US" sz="1025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US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ekv</a:t>
                </a:r>
              </a:p>
            </c:rich>
          </c:tx>
          <c:layout>
            <c:manualLayout>
              <c:xMode val="edge"/>
              <c:yMode val="edge"/>
              <c:x val="1.8009437344922049E-2"/>
              <c:y val="0.4327816522934633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29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4019550</xdr:colOff>
      <xdr:row>18</xdr:row>
      <xdr:rowOff>38100</xdr:rowOff>
    </xdr:from>
    <xdr:to>
      <xdr:col>0</xdr:col>
      <xdr:colOff>5676900</xdr:colOff>
      <xdr:row>25</xdr:row>
      <xdr:rowOff>76200</xdr:rowOff>
    </xdr:to>
    <xdr:pic>
      <xdr:nvPicPr>
        <xdr:cNvPr id="280649" name="Kuva 4">
          <a:extLst>
            <a:ext uri="{FF2B5EF4-FFF2-40B4-BE49-F238E27FC236}">
              <a16:creationId xmlns:a16="http://schemas.microsoft.com/office/drawing/2014/main" id="{00000000-0008-0000-0000-0000494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276600"/>
          <a:ext cx="16573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5581650</xdr:colOff>
      <xdr:row>18</xdr:row>
      <xdr:rowOff>0</xdr:rowOff>
    </xdr:from>
    <xdr:to>
      <xdr:col>0</xdr:col>
      <xdr:colOff>6753225</xdr:colOff>
      <xdr:row>25</xdr:row>
      <xdr:rowOff>76200</xdr:rowOff>
    </xdr:to>
    <xdr:pic>
      <xdr:nvPicPr>
        <xdr:cNvPr id="280650" name="Kuva 5">
          <a:extLst>
            <a:ext uri="{FF2B5EF4-FFF2-40B4-BE49-F238E27FC236}">
              <a16:creationId xmlns:a16="http://schemas.microsoft.com/office/drawing/2014/main" id="{00000000-0008-0000-0000-00004A4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3238500"/>
          <a:ext cx="11715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19050</xdr:rowOff>
    </xdr:from>
    <xdr:to>
      <xdr:col>0</xdr:col>
      <xdr:colOff>1152525</xdr:colOff>
      <xdr:row>24</xdr:row>
      <xdr:rowOff>66675</xdr:rowOff>
    </xdr:to>
    <xdr:pic>
      <xdr:nvPicPr>
        <xdr:cNvPr id="280651" name="Kuva 6">
          <a:extLst>
            <a:ext uri="{FF2B5EF4-FFF2-40B4-BE49-F238E27FC236}">
              <a16:creationId xmlns:a16="http://schemas.microsoft.com/office/drawing/2014/main" id="{00000000-0008-0000-0000-00004B4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9475"/>
          <a:ext cx="11525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1200150</xdr:colOff>
      <xdr:row>18</xdr:row>
      <xdr:rowOff>133350</xdr:rowOff>
    </xdr:from>
    <xdr:to>
      <xdr:col>0</xdr:col>
      <xdr:colOff>2466975</xdr:colOff>
      <xdr:row>25</xdr:row>
      <xdr:rowOff>38100</xdr:rowOff>
    </xdr:to>
    <xdr:pic>
      <xdr:nvPicPr>
        <xdr:cNvPr id="280652" name="Kuva 7" descr="https://www.luke.fi/wp-content/uploads/2015/02/Luke_FI_virall_WEB.jpg">
          <a:extLst>
            <a:ext uri="{FF2B5EF4-FFF2-40B4-BE49-F238E27FC236}">
              <a16:creationId xmlns:a16="http://schemas.microsoft.com/office/drawing/2014/main" id="{00000000-0008-0000-0000-00004C4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3371850"/>
          <a:ext cx="12668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2447925</xdr:colOff>
      <xdr:row>18</xdr:row>
      <xdr:rowOff>114300</xdr:rowOff>
    </xdr:from>
    <xdr:to>
      <xdr:col>0</xdr:col>
      <xdr:colOff>4200525</xdr:colOff>
      <xdr:row>25</xdr:row>
      <xdr:rowOff>28575</xdr:rowOff>
    </xdr:to>
    <xdr:pic>
      <xdr:nvPicPr>
        <xdr:cNvPr id="280653" name="Kuva 8">
          <a:extLst>
            <a:ext uri="{FF2B5EF4-FFF2-40B4-BE49-F238E27FC236}">
              <a16:creationId xmlns:a16="http://schemas.microsoft.com/office/drawing/2014/main" id="{00000000-0008-0000-0000-00004D4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3352800"/>
          <a:ext cx="17526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25</xdr:row>
      <xdr:rowOff>114300</xdr:rowOff>
    </xdr:from>
    <xdr:to>
      <xdr:col>0</xdr:col>
      <xdr:colOff>7019876</xdr:colOff>
      <xdr:row>27</xdr:row>
      <xdr:rowOff>101946</xdr:rowOff>
    </xdr:to>
    <xdr:sp macro="" textlink="">
      <xdr:nvSpPr>
        <xdr:cNvPr id="10" name="Suorakulmio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7150" y="4486275"/>
          <a:ext cx="6962726" cy="311496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i-FI" sz="1400" b="1"/>
            <a:t>Kestävän liiketoiminnan edistäminen Pohjois-Karjalan kiertobiotaloudessa (KELIPK) -hanke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33338</xdr:colOff>
      <xdr:row>19</xdr:row>
      <xdr:rowOff>78581</xdr:rowOff>
    </xdr:from>
    <xdr:to>
      <xdr:col>3</xdr:col>
      <xdr:colOff>392906</xdr:colOff>
      <xdr:row>41</xdr:row>
      <xdr:rowOff>7143</xdr:rowOff>
    </xdr:to>
    <xdr:graphicFrame macro="">
      <xdr:nvGraphicFramePr>
        <xdr:cNvPr id="1377" name="Kaavio 1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409575</xdr:colOff>
      <xdr:row>17</xdr:row>
      <xdr:rowOff>209550</xdr:rowOff>
    </xdr:from>
    <xdr:to>
      <xdr:col>8</xdr:col>
      <xdr:colOff>485775</xdr:colOff>
      <xdr:row>42</xdr:row>
      <xdr:rowOff>0</xdr:rowOff>
    </xdr:to>
    <xdr:graphicFrame macro="">
      <xdr:nvGraphicFramePr>
        <xdr:cNvPr id="1378" name="Kaavio 2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15</xdr:row>
      <xdr:rowOff>533400</xdr:rowOff>
    </xdr:from>
    <xdr:to>
      <xdr:col>18</xdr:col>
      <xdr:colOff>295275</xdr:colOff>
      <xdr:row>39</xdr:row>
      <xdr:rowOff>28575</xdr:rowOff>
    </xdr:to>
    <xdr:graphicFrame macro="">
      <xdr:nvGraphicFramePr>
        <xdr:cNvPr id="2229" name="Kaavio 1">
          <a:extLst>
            <a:ext uri="{FF2B5EF4-FFF2-40B4-BE49-F238E27FC236}">
              <a16:creationId xmlns:a16="http://schemas.microsoft.com/office/drawing/2014/main" id="{00000000-0008-0000-0200-0000B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142875</xdr:rowOff>
    </xdr:from>
    <xdr:to>
      <xdr:col>28</xdr:col>
      <xdr:colOff>152401</xdr:colOff>
      <xdr:row>71</xdr:row>
      <xdr:rowOff>95250</xdr:rowOff>
    </xdr:to>
    <xdr:graphicFrame macro="">
      <xdr:nvGraphicFramePr>
        <xdr:cNvPr id="3431" name="Kaavio 1">
          <a:extLst>
            <a:ext uri="{FF2B5EF4-FFF2-40B4-BE49-F238E27FC236}">
              <a16:creationId xmlns:a16="http://schemas.microsoft.com/office/drawing/2014/main" id="{00000000-0008-0000-0300-000067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ipcc.ch/site/assets/uploads/2018/02/ipcc_wg3_ar5_annex-iii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otiva.fi/ratkaisut/energiankaytto_suomessa/co2-laskentaohje_energiankulutuksen_hiilidioksidipaastojen_laskentaan/co2-paastokertoimet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31"/>
  <sheetViews>
    <sheetView workbookViewId="0">
      <selection activeCell="C8" sqref="C8"/>
    </sheetView>
  </sheetViews>
  <sheetFormatPr defaultRowHeight="13.2"/>
  <cols>
    <col min="1" max="1" width="112.6640625" customWidth="1"/>
  </cols>
  <sheetData>
    <row r="1" spans="1:1" ht="81" customHeight="1">
      <c r="A1" s="239" t="s">
        <v>424</v>
      </c>
    </row>
    <row r="2" spans="1:1">
      <c r="A2" s="230" t="s">
        <v>425</v>
      </c>
    </row>
    <row r="3" spans="1:1" ht="26.4">
      <c r="A3" s="230" t="s">
        <v>414</v>
      </c>
    </row>
    <row r="4" spans="1:1" ht="26.4">
      <c r="A4" s="393" t="s">
        <v>650</v>
      </c>
    </row>
    <row r="5" spans="1:1">
      <c r="A5" s="232"/>
    </row>
    <row r="6" spans="1:1">
      <c r="A6" s="231" t="s">
        <v>415</v>
      </c>
    </row>
    <row r="7" spans="1:1">
      <c r="A7" s="231" t="s">
        <v>413</v>
      </c>
    </row>
    <row r="8" spans="1:1">
      <c r="A8" s="229"/>
    </row>
    <row r="9" spans="1:1">
      <c r="A9" s="229"/>
    </row>
    <row r="10" spans="1:1">
      <c r="A10" s="229"/>
    </row>
    <row r="11" spans="1:1">
      <c r="A11" s="507" t="s">
        <v>681</v>
      </c>
    </row>
    <row r="12" spans="1:1">
      <c r="A12" s="229"/>
    </row>
    <row r="13" spans="1:1">
      <c r="A13" s="229"/>
    </row>
    <row r="14" spans="1:1">
      <c r="A14" s="229" t="s">
        <v>459</v>
      </c>
    </row>
    <row r="15" spans="1:1">
      <c r="A15" s="229"/>
    </row>
    <row r="16" spans="1:1">
      <c r="A16" s="229"/>
    </row>
    <row r="17" spans="1:1">
      <c r="A17" s="229"/>
    </row>
    <row r="18" spans="1:1">
      <c r="A18" s="229"/>
    </row>
    <row r="19" spans="1:1">
      <c r="A19" s="229"/>
    </row>
    <row r="20" spans="1:1">
      <c r="A20" s="229"/>
    </row>
    <row r="21" spans="1:1">
      <c r="A21" s="229"/>
    </row>
    <row r="22" spans="1:1">
      <c r="A22" s="229"/>
    </row>
    <row r="23" spans="1:1">
      <c r="A23" s="229"/>
    </row>
    <row r="24" spans="1:1">
      <c r="A24" s="229"/>
    </row>
    <row r="25" spans="1:1">
      <c r="A25" s="229"/>
    </row>
    <row r="26" spans="1:1">
      <c r="A26" s="229"/>
    </row>
    <row r="27" spans="1:1">
      <c r="A27" s="229"/>
    </row>
    <row r="28" spans="1:1">
      <c r="A28" s="229"/>
    </row>
    <row r="29" spans="1:1">
      <c r="A29" s="229"/>
    </row>
    <row r="30" spans="1:1">
      <c r="A30" s="420" t="s">
        <v>649</v>
      </c>
    </row>
    <row r="31" spans="1:1">
      <c r="A31" s="229" t="s">
        <v>680</v>
      </c>
    </row>
  </sheetData>
  <sheetProtection algorithmName="SHA-512" hashValue="45PjoxkZ/ajzJCNn88trGeS1MYCgXgr/FarfThSlpN8Q2hTaKtPfn6Klie2lnoA35xJv8Cq6pc0SPQfIn0FI/Q==" saltValue="sIlOf2N3+UwpJiMuqIaB6A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G69"/>
  <sheetViews>
    <sheetView zoomScaleNormal="100" workbookViewId="0">
      <selection activeCell="E4" sqref="E4"/>
    </sheetView>
  </sheetViews>
  <sheetFormatPr defaultRowHeight="13.2"/>
  <cols>
    <col min="1" max="1" width="107.44140625" customWidth="1"/>
    <col min="2" max="2" width="19.109375" customWidth="1"/>
    <col min="3" max="3" width="14.109375" customWidth="1"/>
    <col min="5" max="5" width="48.6640625" customWidth="1"/>
    <col min="6" max="6" width="52.33203125" customWidth="1"/>
    <col min="7" max="7" width="45.5546875" customWidth="1"/>
  </cols>
  <sheetData>
    <row r="1" spans="1:7">
      <c r="A1" s="27" t="s">
        <v>10</v>
      </c>
      <c r="D1" s="271" t="s">
        <v>664</v>
      </c>
    </row>
    <row r="3" spans="1:7" ht="18">
      <c r="A3" s="36" t="s">
        <v>8</v>
      </c>
      <c r="B3" s="36" t="s">
        <v>31</v>
      </c>
      <c r="C3" s="36"/>
    </row>
    <row r="4" spans="1:7" ht="18.600000000000001">
      <c r="A4" s="401" t="s">
        <v>605</v>
      </c>
      <c r="B4" s="517">
        <f>Sähkönkulutus!E11</f>
        <v>0</v>
      </c>
      <c r="C4" s="440" t="s">
        <v>599</v>
      </c>
    </row>
    <row r="5" spans="1:7" ht="18.600000000000001">
      <c r="A5" s="433" t="s">
        <v>606</v>
      </c>
      <c r="B5" s="518">
        <f>Sähkönkulutus!G11</f>
        <v>0</v>
      </c>
      <c r="C5" s="442" t="s">
        <v>599</v>
      </c>
    </row>
    <row r="6" spans="1:7" ht="18.600000000000001">
      <c r="A6" s="401" t="s">
        <v>591</v>
      </c>
      <c r="B6" s="517">
        <f>Lämpöenergiankulutus!H19</f>
        <v>0</v>
      </c>
      <c r="C6" s="440" t="s">
        <v>599</v>
      </c>
    </row>
    <row r="7" spans="1:7" ht="18.600000000000001">
      <c r="A7" s="437" t="s">
        <v>592</v>
      </c>
      <c r="B7" s="519">
        <f>Lämpöenergiankulutus!H20</f>
        <v>0</v>
      </c>
      <c r="C7" s="441" t="s">
        <v>599</v>
      </c>
    </row>
    <row r="8" spans="1:7" ht="18.600000000000001">
      <c r="A8" s="401" t="s">
        <v>595</v>
      </c>
      <c r="B8" s="517">
        <f>Lämpöenergiankulutus!H22</f>
        <v>0</v>
      </c>
      <c r="C8" s="440" t="s">
        <v>599</v>
      </c>
      <c r="E8" s="13" t="s">
        <v>60</v>
      </c>
      <c r="F8" s="11"/>
      <c r="G8" s="11"/>
    </row>
    <row r="9" spans="1:7" ht="30.6" customHeight="1">
      <c r="A9" s="437" t="s">
        <v>596</v>
      </c>
      <c r="B9" s="519">
        <f>Lämpöenergiankulutus!H23</f>
        <v>0</v>
      </c>
      <c r="C9" s="441" t="s">
        <v>599</v>
      </c>
      <c r="E9" s="350" t="s">
        <v>638</v>
      </c>
      <c r="F9" s="351" t="s">
        <v>584</v>
      </c>
      <c r="G9" s="352" t="s">
        <v>585</v>
      </c>
    </row>
    <row r="10" spans="1:7" ht="18.600000000000001">
      <c r="A10" s="439" t="s">
        <v>607</v>
      </c>
      <c r="B10" s="520">
        <f>Jätehuolto!D28</f>
        <v>0</v>
      </c>
      <c r="C10" s="443" t="s">
        <v>599</v>
      </c>
      <c r="E10" s="381" t="e">
        <f>((B6+B8)/B15)</f>
        <v>#DIV/0!</v>
      </c>
      <c r="F10" s="381" t="e">
        <f>((B4+B7+B9)/B15)</f>
        <v>#DIV/0!</v>
      </c>
      <c r="G10" s="381" t="e">
        <f>((B10+B12+B13+B5+B14+B11)/B15)</f>
        <v>#DIV/0!</v>
      </c>
    </row>
    <row r="11" spans="1:7" ht="15">
      <c r="A11" s="437" t="s">
        <v>608</v>
      </c>
      <c r="B11" s="519">
        <f>Jätehuolto!D29</f>
        <v>0</v>
      </c>
      <c r="C11" s="441" t="s">
        <v>597</v>
      </c>
      <c r="E11" s="402"/>
      <c r="F11" s="402"/>
      <c r="G11" s="402"/>
    </row>
    <row r="12" spans="1:7" ht="18.600000000000001">
      <c r="A12" s="439" t="s">
        <v>609</v>
      </c>
      <c r="B12" s="520">
        <f>Liikematkustaminen!F27</f>
        <v>0</v>
      </c>
      <c r="C12" s="443" t="s">
        <v>599</v>
      </c>
      <c r="E12" s="402"/>
      <c r="F12" s="402"/>
      <c r="G12" s="402"/>
    </row>
    <row r="13" spans="1:7" ht="18.600000000000001">
      <c r="A13" s="437" t="s">
        <v>610</v>
      </c>
      <c r="B13" s="519">
        <f>Kuljetukset!F48</f>
        <v>0</v>
      </c>
      <c r="C13" s="441" t="s">
        <v>599</v>
      </c>
      <c r="E13" s="402"/>
      <c r="F13" s="402"/>
      <c r="G13" s="402"/>
    </row>
    <row r="14" spans="1:7" ht="19.2" thickBot="1">
      <c r="A14" s="401" t="s">
        <v>611</v>
      </c>
      <c r="B14" s="517">
        <f>Kuljetukset!F49</f>
        <v>0</v>
      </c>
      <c r="C14" s="440" t="s">
        <v>599</v>
      </c>
    </row>
    <row r="15" spans="1:7" ht="18">
      <c r="A15" s="201" t="s">
        <v>32</v>
      </c>
      <c r="B15" s="521">
        <f>SUM(B4:B14)</f>
        <v>0</v>
      </c>
      <c r="C15" s="444" t="s">
        <v>31</v>
      </c>
    </row>
    <row r="16" spans="1:7" ht="18.600000000000001" thickBot="1">
      <c r="A16" s="202"/>
      <c r="B16" s="203">
        <f>B15/1000</f>
        <v>0</v>
      </c>
      <c r="C16" s="204" t="s">
        <v>46</v>
      </c>
      <c r="F16" s="72"/>
    </row>
    <row r="17" spans="1:4" ht="16.2">
      <c r="A17" s="222" t="s">
        <v>379</v>
      </c>
      <c r="B17" s="522">
        <f>Lämpöenergiankulutus!N25</f>
        <v>0</v>
      </c>
      <c r="C17" s="222" t="s">
        <v>410</v>
      </c>
    </row>
    <row r="23" spans="1:4">
      <c r="D23" s="72"/>
    </row>
    <row r="66" spans="1:6">
      <c r="A66" s="9" t="s">
        <v>61</v>
      </c>
      <c r="B66" s="9"/>
      <c r="C66" s="9"/>
    </row>
    <row r="67" spans="1:6">
      <c r="A67" s="9" t="s">
        <v>62</v>
      </c>
      <c r="B67" s="9"/>
      <c r="C67" s="9"/>
      <c r="D67" s="9"/>
      <c r="E67" s="9"/>
      <c r="F67" s="9"/>
    </row>
    <row r="68" spans="1:6">
      <c r="A68" s="9" t="s">
        <v>63</v>
      </c>
      <c r="B68" s="9"/>
      <c r="C68" s="9"/>
      <c r="D68" s="9"/>
      <c r="E68" s="9"/>
      <c r="F68" s="9"/>
    </row>
    <row r="69" spans="1:6">
      <c r="D69" s="9"/>
      <c r="E69" s="9"/>
      <c r="F69" s="9"/>
    </row>
  </sheetData>
  <sheetProtection algorithmName="SHA-512" hashValue="ggWJppcj8NFFaACUJkFe9ahj6jWb3UA/Dj9yHbtRdNbrD8LQYqNWLkiqR3l/ppFuMImCSqutC+Ur+aKK/MXfWQ==" saltValue="KQoG9KgLkhyUBYMj/8Fqhg==" spinCount="100000" sheet="1" objects="1" scenarios="1"/>
  <phoneticPr fontId="11" type="noConversion"/>
  <pageMargins left="0.75" right="0.75" top="1" bottom="1" header="0.4921259845" footer="0.492125984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Y64"/>
  <sheetViews>
    <sheetView workbookViewId="0">
      <selection activeCell="A4" sqref="A4"/>
    </sheetView>
  </sheetViews>
  <sheetFormatPr defaultRowHeight="13.2"/>
  <cols>
    <col min="1" max="1" width="35.88671875" customWidth="1"/>
    <col min="2" max="2" width="30.5546875" customWidth="1"/>
    <col min="3" max="3" width="22.88671875" customWidth="1"/>
    <col min="4" max="4" width="16.6640625" customWidth="1"/>
    <col min="5" max="5" width="11" customWidth="1"/>
    <col min="6" max="6" width="11.5546875" customWidth="1"/>
    <col min="7" max="7" width="11.33203125" customWidth="1"/>
    <col min="8" max="8" width="10.5546875" customWidth="1"/>
    <col min="9" max="9" width="10.6640625" customWidth="1"/>
    <col min="10" max="10" width="23.33203125" customWidth="1"/>
    <col min="11" max="11" width="26.33203125" customWidth="1"/>
    <col min="12" max="12" width="13.33203125" hidden="1" customWidth="1"/>
    <col min="13" max="13" width="15.88671875" hidden="1" customWidth="1"/>
    <col min="14" max="18" width="9.109375" hidden="1" customWidth="1"/>
    <col min="19" max="23" width="9.109375" customWidth="1"/>
    <col min="25" max="25" width="0" hidden="1" customWidth="1"/>
  </cols>
  <sheetData>
    <row r="1" spans="1:16" ht="19.5" customHeight="1">
      <c r="A1" s="4" t="s">
        <v>633</v>
      </c>
      <c r="C1" s="4"/>
      <c r="D1" s="4"/>
    </row>
    <row r="2" spans="1:16">
      <c r="A2" s="4" t="s">
        <v>634</v>
      </c>
    </row>
    <row r="3" spans="1:16">
      <c r="A3" s="4" t="s">
        <v>678</v>
      </c>
    </row>
    <row r="4" spans="1:16">
      <c r="A4" s="4" t="s">
        <v>615</v>
      </c>
    </row>
    <row r="6" spans="1:16" ht="13.8" thickBot="1">
      <c r="F6" s="271" t="s">
        <v>594</v>
      </c>
    </row>
    <row r="7" spans="1:16" ht="28.5" customHeight="1" thickBot="1">
      <c r="A7" s="354" t="s">
        <v>532</v>
      </c>
      <c r="B7" s="355">
        <v>0</v>
      </c>
      <c r="C7" s="463" t="s">
        <v>603</v>
      </c>
      <c r="D7" s="531" t="s">
        <v>557</v>
      </c>
      <c r="E7" s="532"/>
      <c r="F7" s="531" t="s">
        <v>556</v>
      </c>
      <c r="G7" s="532"/>
    </row>
    <row r="8" spans="1:16" ht="45.6">
      <c r="A8" s="277" t="s">
        <v>472</v>
      </c>
      <c r="B8" s="353" t="s">
        <v>13</v>
      </c>
      <c r="C8" s="353" t="s">
        <v>423</v>
      </c>
      <c r="D8" s="62" t="s">
        <v>675</v>
      </c>
      <c r="E8" s="63" t="s">
        <v>674</v>
      </c>
      <c r="F8" s="477" t="s">
        <v>604</v>
      </c>
      <c r="G8" s="63" t="s">
        <v>674</v>
      </c>
      <c r="H8" s="81"/>
      <c r="L8" s="81" t="s">
        <v>116</v>
      </c>
    </row>
    <row r="9" spans="1:16" ht="55.5" customHeight="1">
      <c r="A9" s="4" t="s">
        <v>448</v>
      </c>
      <c r="B9" s="240">
        <v>0</v>
      </c>
      <c r="C9" s="241" t="s">
        <v>665</v>
      </c>
      <c r="D9" s="108">
        <f>INDEX(A17:C22,MATCH(C9,A17:A22,0),3)</f>
        <v>141</v>
      </c>
      <c r="E9" s="237">
        <f>B9*D9</f>
        <v>0</v>
      </c>
      <c r="F9" s="476">
        <f>INDEX(A17:D22,MATCH(C9,A17:A22,0),4)</f>
        <v>14.953488</v>
      </c>
      <c r="G9" s="472">
        <f>F9*B9</f>
        <v>0</v>
      </c>
      <c r="H9" s="400"/>
      <c r="L9" t="s">
        <v>111</v>
      </c>
    </row>
    <row r="10" spans="1:16" ht="39.6">
      <c r="A10" s="4" t="s">
        <v>449</v>
      </c>
      <c r="B10" s="273">
        <v>0</v>
      </c>
      <c r="C10" s="274" t="s">
        <v>665</v>
      </c>
      <c r="D10" s="108">
        <f>INDEX(A17:C22,MATCH(C10,A17:A22,0),3)</f>
        <v>141</v>
      </c>
      <c r="E10" s="237">
        <f>B10*D10</f>
        <v>0</v>
      </c>
      <c r="F10" s="476">
        <f>INDEX(A17:D22,MATCH(C10,A17:A22,0),4)</f>
        <v>14.953488</v>
      </c>
      <c r="G10" s="472">
        <f>F10*B10</f>
        <v>0</v>
      </c>
      <c r="H10" s="400"/>
      <c r="L10" t="s">
        <v>112</v>
      </c>
      <c r="M10">
        <v>251</v>
      </c>
      <c r="N10" t="s">
        <v>113</v>
      </c>
    </row>
    <row r="11" spans="1:16" ht="13.8">
      <c r="A11" s="272" t="s">
        <v>450</v>
      </c>
      <c r="B11" s="275"/>
      <c r="C11" s="275"/>
      <c r="D11" s="275"/>
      <c r="E11" s="276">
        <f>E9+E10</f>
        <v>0</v>
      </c>
      <c r="F11" s="473" t="s">
        <v>561</v>
      </c>
      <c r="G11" s="473">
        <f>SUM(G9:G10)</f>
        <v>0</v>
      </c>
      <c r="N11" t="s">
        <v>114</v>
      </c>
      <c r="O11">
        <v>275</v>
      </c>
      <c r="P11" t="s">
        <v>113</v>
      </c>
    </row>
    <row r="12" spans="1:16">
      <c r="A12" s="114"/>
      <c r="B12" s="25"/>
      <c r="D12" s="25"/>
      <c r="E12" s="158"/>
      <c r="N12" t="s">
        <v>115</v>
      </c>
      <c r="O12">
        <v>116</v>
      </c>
      <c r="P12" t="s">
        <v>113</v>
      </c>
    </row>
    <row r="13" spans="1:16">
      <c r="B13" s="27"/>
      <c r="C13" s="27"/>
      <c r="D13" s="27"/>
      <c r="E13" s="27"/>
      <c r="F13" s="27"/>
    </row>
    <row r="14" spans="1:16">
      <c r="A14" s="27" t="s">
        <v>41</v>
      </c>
      <c r="B14" s="27"/>
      <c r="C14" s="27"/>
      <c r="D14" s="27"/>
      <c r="E14" s="27"/>
      <c r="F14" s="27"/>
      <c r="N14" s="80" t="s">
        <v>117</v>
      </c>
      <c r="O14">
        <v>242</v>
      </c>
    </row>
    <row r="15" spans="1:16">
      <c r="A15" s="27" t="s">
        <v>42</v>
      </c>
    </row>
    <row r="16" spans="1:16" ht="44.25" customHeight="1">
      <c r="A16" s="28" t="s">
        <v>38</v>
      </c>
      <c r="B16" s="32" t="s">
        <v>37</v>
      </c>
      <c r="C16" s="34" t="s">
        <v>672</v>
      </c>
      <c r="D16" s="126" t="s">
        <v>671</v>
      </c>
      <c r="E16" s="33" t="s">
        <v>673</v>
      </c>
      <c r="M16" s="77" t="s">
        <v>98</v>
      </c>
    </row>
    <row r="17" spans="1:25" ht="40.5" customHeight="1">
      <c r="A17" s="236" t="s">
        <v>665</v>
      </c>
      <c r="B17" s="356">
        <v>0</v>
      </c>
      <c r="C17" s="157">
        <v>141</v>
      </c>
      <c r="D17" s="397">
        <f>C57</f>
        <v>14.953488</v>
      </c>
      <c r="E17" s="181">
        <f t="shared" ref="E17:E22" si="0">B17*($D17+$C17)</f>
        <v>0</v>
      </c>
      <c r="M17" s="77" t="s">
        <v>99</v>
      </c>
    </row>
    <row r="18" spans="1:25" ht="13.8">
      <c r="A18" s="29" t="s">
        <v>34</v>
      </c>
      <c r="B18" s="242">
        <v>0</v>
      </c>
      <c r="C18" s="157">
        <v>0</v>
      </c>
      <c r="D18" s="157">
        <v>41</v>
      </c>
      <c r="E18" s="181">
        <f t="shared" si="0"/>
        <v>0</v>
      </c>
      <c r="M18" s="77" t="s">
        <v>100</v>
      </c>
    </row>
    <row r="19" spans="1:25" ht="13.8">
      <c r="A19" s="29" t="s">
        <v>35</v>
      </c>
      <c r="B19" s="242">
        <v>0</v>
      </c>
      <c r="C19" s="157">
        <v>0</v>
      </c>
      <c r="D19" s="157">
        <v>11</v>
      </c>
      <c r="E19" s="181">
        <f t="shared" si="0"/>
        <v>0</v>
      </c>
      <c r="M19" s="77"/>
    </row>
    <row r="20" spans="1:25">
      <c r="A20" s="29" t="s">
        <v>36</v>
      </c>
      <c r="B20" s="242">
        <v>0</v>
      </c>
      <c r="C20" s="157">
        <v>0</v>
      </c>
      <c r="D20" s="157">
        <v>24</v>
      </c>
      <c r="E20" s="181">
        <f t="shared" si="0"/>
        <v>0</v>
      </c>
      <c r="M20" s="78" t="s">
        <v>186</v>
      </c>
    </row>
    <row r="21" spans="1:25">
      <c r="A21" s="29" t="s">
        <v>108</v>
      </c>
      <c r="B21" s="242">
        <v>0</v>
      </c>
      <c r="C21" s="200">
        <v>0</v>
      </c>
      <c r="D21" s="76">
        <v>12</v>
      </c>
      <c r="E21" s="181">
        <f t="shared" si="0"/>
        <v>0</v>
      </c>
      <c r="M21" s="79" t="s">
        <v>101</v>
      </c>
    </row>
    <row r="22" spans="1:25">
      <c r="A22" s="24" t="s">
        <v>531</v>
      </c>
      <c r="B22" s="356">
        <v>0</v>
      </c>
      <c r="C22" s="357">
        <f>B7</f>
        <v>0</v>
      </c>
      <c r="D22" s="399">
        <f>D17</f>
        <v>14.953488</v>
      </c>
      <c r="E22" s="181">
        <f t="shared" si="0"/>
        <v>0</v>
      </c>
      <c r="M22" s="79" t="s">
        <v>102</v>
      </c>
    </row>
    <row r="23" spans="1:25">
      <c r="M23" s="79" t="s">
        <v>103</v>
      </c>
    </row>
    <row r="24" spans="1:25">
      <c r="M24" s="84" t="s">
        <v>105</v>
      </c>
    </row>
    <row r="27" spans="1:25">
      <c r="M27" s="79" t="s">
        <v>188</v>
      </c>
    </row>
    <row r="28" spans="1:25">
      <c r="M28" s="79"/>
      <c r="Y28" t="s">
        <v>106</v>
      </c>
    </row>
    <row r="29" spans="1:25">
      <c r="M29" s="80" t="s">
        <v>104</v>
      </c>
    </row>
    <row r="30" spans="1:25">
      <c r="M30" t="s">
        <v>38</v>
      </c>
      <c r="N30" t="s">
        <v>110</v>
      </c>
      <c r="O30" s="80" t="s">
        <v>183</v>
      </c>
    </row>
    <row r="31" spans="1:25">
      <c r="M31" t="s">
        <v>33</v>
      </c>
      <c r="N31">
        <v>209</v>
      </c>
    </row>
    <row r="32" spans="1:25">
      <c r="M32" t="s">
        <v>107</v>
      </c>
      <c r="N32">
        <v>209</v>
      </c>
    </row>
    <row r="33" spans="1:18">
      <c r="M33" s="80" t="s">
        <v>181</v>
      </c>
      <c r="N33">
        <v>41</v>
      </c>
      <c r="O33">
        <v>4</v>
      </c>
    </row>
    <row r="34" spans="1:18">
      <c r="A34" s="98"/>
      <c r="B34" s="98"/>
      <c r="C34" s="98"/>
      <c r="M34" s="80" t="s">
        <v>182</v>
      </c>
      <c r="N34">
        <v>48</v>
      </c>
      <c r="O34">
        <v>4</v>
      </c>
    </row>
    <row r="35" spans="1:18">
      <c r="M35" s="80" t="s">
        <v>179</v>
      </c>
      <c r="N35">
        <v>11</v>
      </c>
      <c r="O35">
        <v>4</v>
      </c>
    </row>
    <row r="36" spans="1:18">
      <c r="M36" s="80" t="s">
        <v>180</v>
      </c>
      <c r="N36">
        <v>12</v>
      </c>
      <c r="O36">
        <v>4</v>
      </c>
    </row>
    <row r="37" spans="1:18">
      <c r="M37" t="s">
        <v>36</v>
      </c>
      <c r="N37">
        <v>24</v>
      </c>
      <c r="O37">
        <v>4</v>
      </c>
    </row>
    <row r="38" spans="1:18">
      <c r="M38" t="s">
        <v>108</v>
      </c>
      <c r="N38">
        <v>12</v>
      </c>
      <c r="O38">
        <v>4</v>
      </c>
    </row>
    <row r="39" spans="1:18">
      <c r="M39" t="s">
        <v>109</v>
      </c>
    </row>
    <row r="40" spans="1:18">
      <c r="A40" t="s">
        <v>6</v>
      </c>
    </row>
    <row r="41" spans="1:18" ht="43.5" customHeight="1">
      <c r="A41" s="529" t="s">
        <v>666</v>
      </c>
      <c r="B41" s="530"/>
      <c r="C41" s="530"/>
      <c r="D41" s="530"/>
      <c r="E41" s="530"/>
      <c r="F41" s="530"/>
      <c r="G41" s="84"/>
      <c r="M41" s="159"/>
      <c r="N41" s="160" t="s">
        <v>187</v>
      </c>
      <c r="O41" s="159"/>
      <c r="P41" s="159"/>
      <c r="Q41" s="159"/>
      <c r="R41" s="159"/>
    </row>
    <row r="42" spans="1:18" ht="16.8" thickBot="1">
      <c r="A42" s="117" t="s">
        <v>601</v>
      </c>
      <c r="M42" s="161"/>
      <c r="N42" s="159" t="s">
        <v>184</v>
      </c>
      <c r="O42" s="159" t="s">
        <v>185</v>
      </c>
      <c r="P42" s="159"/>
      <c r="Q42" s="159"/>
      <c r="R42" s="159"/>
    </row>
    <row r="43" spans="1:18" ht="16.8" thickBot="1">
      <c r="A43" s="117" t="s">
        <v>602</v>
      </c>
      <c r="M43" s="162">
        <v>2013</v>
      </c>
      <c r="N43" s="163">
        <v>18844184</v>
      </c>
      <c r="O43" s="163">
        <v>68354</v>
      </c>
      <c r="P43" s="159">
        <f>N43/O43/1000</f>
        <v>0.27568516838809726</v>
      </c>
      <c r="Q43" s="163">
        <v>84069</v>
      </c>
      <c r="R43" s="159">
        <f>N43/Q43/1000</f>
        <v>0.22415139944569343</v>
      </c>
    </row>
    <row r="44" spans="1:18" ht="16.2" thickBot="1">
      <c r="A44" s="3" t="s">
        <v>553</v>
      </c>
      <c r="M44" s="162">
        <v>2014</v>
      </c>
      <c r="N44" s="164">
        <v>17684638</v>
      </c>
      <c r="O44" s="164">
        <v>65459</v>
      </c>
      <c r="P44" s="159">
        <f>N44/O44/1000</f>
        <v>0.27016358331169132</v>
      </c>
      <c r="Q44" s="164">
        <v>83425</v>
      </c>
      <c r="R44" s="159">
        <f>N44/Q44/1000</f>
        <v>0.21198247527719508</v>
      </c>
    </row>
    <row r="45" spans="1:18" ht="14.4" thickBot="1">
      <c r="M45" s="162">
        <v>2015</v>
      </c>
      <c r="N45" s="164">
        <v>14731304</v>
      </c>
      <c r="O45" s="164">
        <v>66155</v>
      </c>
      <c r="P45" s="159">
        <f>N45/O45/1000</f>
        <v>0.22267861839619077</v>
      </c>
      <c r="Q45" s="164">
        <v>82492</v>
      </c>
      <c r="R45" s="159">
        <f>N45/Q45/1000</f>
        <v>0.17857857731658827</v>
      </c>
    </row>
    <row r="46" spans="1:18" ht="14.4" thickBot="1">
      <c r="M46" s="162">
        <v>2016</v>
      </c>
      <c r="N46" s="164">
        <v>16942428</v>
      </c>
      <c r="O46" s="164">
        <v>66201</v>
      </c>
      <c r="P46" s="159">
        <f>N46/O46/1000</f>
        <v>0.25592404948565733</v>
      </c>
      <c r="Q46" s="164">
        <v>85151</v>
      </c>
      <c r="R46" s="159">
        <f>N46/Q46/1000</f>
        <v>0.19896921938673651</v>
      </c>
    </row>
    <row r="47" spans="1:18" ht="14.4" thickBot="1">
      <c r="A47" s="271" t="s">
        <v>567</v>
      </c>
      <c r="M47" s="162">
        <v>2017</v>
      </c>
      <c r="N47" s="164">
        <v>15265769</v>
      </c>
      <c r="O47" s="164">
        <v>65042</v>
      </c>
      <c r="P47" s="159">
        <f>N47/O47/1000</f>
        <v>0.23470632821868948</v>
      </c>
      <c r="Q47" s="164">
        <v>85468</v>
      </c>
      <c r="R47" s="159">
        <f>N47/Q47/1000</f>
        <v>0.17861385547807368</v>
      </c>
    </row>
    <row r="48" spans="1:18">
      <c r="A48" t="s">
        <v>558</v>
      </c>
    </row>
    <row r="49" spans="1:13">
      <c r="A49" t="s">
        <v>560</v>
      </c>
      <c r="B49" s="100">
        <v>0.46</v>
      </c>
      <c r="C49" s="271" t="s">
        <v>564</v>
      </c>
      <c r="E49" s="271" t="s">
        <v>565</v>
      </c>
    </row>
    <row r="50" spans="1:13">
      <c r="A50" s="398" t="s">
        <v>559</v>
      </c>
      <c r="B50" s="100">
        <v>9.2000000000000003E-4</v>
      </c>
      <c r="C50" s="72">
        <f>B50*D18</f>
        <v>3.7720000000000004E-2</v>
      </c>
      <c r="D50" s="90"/>
    </row>
    <row r="51" spans="1:13">
      <c r="A51" s="398" t="s">
        <v>35</v>
      </c>
      <c r="B51" s="100">
        <v>8.7400000000000005E-2</v>
      </c>
      <c r="C51" s="72">
        <f>B51*D19</f>
        <v>0.96140000000000003</v>
      </c>
      <c r="D51" s="90"/>
    </row>
    <row r="52" spans="1:13">
      <c r="A52" s="398" t="s">
        <v>36</v>
      </c>
      <c r="B52" s="100">
        <v>0.19320000000000001</v>
      </c>
      <c r="C52" s="72">
        <f>B52*D20</f>
        <v>4.6368</v>
      </c>
      <c r="D52" s="90"/>
      <c r="J52" s="84"/>
    </row>
    <row r="53" spans="1:13" ht="14.4">
      <c r="A53" s="398" t="s">
        <v>563</v>
      </c>
      <c r="B53" s="100">
        <v>0.17848</v>
      </c>
      <c r="C53" s="413">
        <f>0.1*B53*C17</f>
        <v>2.5165679999999999</v>
      </c>
      <c r="D53" s="90"/>
      <c r="F53" s="117"/>
      <c r="G53" s="117"/>
      <c r="H53" s="117"/>
      <c r="I53" s="117"/>
      <c r="J53" s="199"/>
      <c r="M53" s="87"/>
    </row>
    <row r="54" spans="1:13" ht="14.4">
      <c r="A54" t="s">
        <v>108</v>
      </c>
      <c r="B54" s="396">
        <v>0.32</v>
      </c>
      <c r="C54" s="72">
        <f>B54*D21</f>
        <v>3.84</v>
      </c>
      <c r="F54" s="117"/>
      <c r="G54" s="117"/>
      <c r="H54" s="117"/>
      <c r="I54" s="117"/>
      <c r="J54" s="117"/>
      <c r="M54" s="87"/>
    </row>
    <row r="55" spans="1:13" ht="14.4">
      <c r="A55" t="s">
        <v>562</v>
      </c>
      <c r="B55" s="396">
        <v>0.16</v>
      </c>
      <c r="C55" s="414">
        <f>0.1*B55*C17</f>
        <v>2.2560000000000002</v>
      </c>
      <c r="F55" s="117"/>
      <c r="G55" s="117"/>
      <c r="H55" s="117"/>
      <c r="I55" s="117"/>
      <c r="J55" s="117"/>
      <c r="M55" s="87"/>
    </row>
    <row r="56" spans="1:13" ht="14.4">
      <c r="A56" t="s">
        <v>18</v>
      </c>
      <c r="B56" s="396">
        <v>0.05</v>
      </c>
      <c r="C56" s="414">
        <f>0.1*B56*C17</f>
        <v>0.70500000000000018</v>
      </c>
    </row>
    <row r="57" spans="1:13">
      <c r="B57" s="414"/>
      <c r="C57" s="412">
        <f>SUM(C50:C56)</f>
        <v>14.953488</v>
      </c>
      <c r="D57" s="90"/>
      <c r="F57" s="86"/>
      <c r="G57" s="86"/>
    </row>
    <row r="58" spans="1:13">
      <c r="A58" s="271" t="s">
        <v>612</v>
      </c>
      <c r="F58" s="86"/>
      <c r="G58" s="86"/>
    </row>
    <row r="59" spans="1:13">
      <c r="F59" s="86"/>
      <c r="G59" s="86"/>
    </row>
    <row r="60" spans="1:13" hidden="1">
      <c r="A60" s="86" t="s">
        <v>124</v>
      </c>
      <c r="B60" s="86"/>
      <c r="C60" s="86"/>
      <c r="E60" s="86"/>
      <c r="F60" s="86"/>
      <c r="G60" s="86"/>
    </row>
    <row r="61" spans="1:13" ht="15.6" hidden="1">
      <c r="A61" s="89" t="s">
        <v>123</v>
      </c>
      <c r="B61" s="86"/>
      <c r="C61" s="86"/>
      <c r="D61" s="86"/>
      <c r="E61" s="86"/>
      <c r="F61" s="86"/>
      <c r="G61" s="86"/>
    </row>
    <row r="62" spans="1:13" ht="16.8" hidden="1">
      <c r="A62" s="89" t="s">
        <v>132</v>
      </c>
      <c r="B62" s="86"/>
      <c r="C62" s="86"/>
      <c r="D62" s="86"/>
      <c r="E62" s="86"/>
      <c r="F62" s="86"/>
      <c r="G62" s="86"/>
    </row>
    <row r="63" spans="1:13" ht="15.6" hidden="1">
      <c r="A63" s="89" t="s">
        <v>125</v>
      </c>
      <c r="B63" s="86"/>
      <c r="C63" s="86"/>
      <c r="D63" s="86"/>
      <c r="E63" s="86"/>
      <c r="F63" s="86"/>
      <c r="G63" s="86"/>
    </row>
    <row r="64" spans="1:13" hidden="1">
      <c r="A64" s="86" t="s">
        <v>554</v>
      </c>
      <c r="B64" s="86"/>
      <c r="C64" s="86"/>
      <c r="D64" s="86"/>
      <c r="E64" s="86"/>
      <c r="F64" s="86"/>
      <c r="G64" s="86"/>
    </row>
  </sheetData>
  <sheetProtection algorithmName="SHA-512" hashValue="zF3ySgCOgJbiW0BfTe74RCLA1NFMJmNkpxa4ocHod9a3nXicG6qY8xOiTXVKLNgsb+mWTLFzP6GN/hv7KTzBBA==" saltValue="jorTIxp8Mv3j4dJYENLNlw==" spinCount="100000" sheet="1" objects="1" scenarios="1"/>
  <protectedRanges>
    <protectedRange sqref="B7 B9:C10 B17:B22" name="Range1"/>
  </protectedRanges>
  <mergeCells count="3">
    <mergeCell ref="A41:F41"/>
    <mergeCell ref="D7:E7"/>
    <mergeCell ref="F7:G7"/>
  </mergeCells>
  <phoneticPr fontId="0" type="noConversion"/>
  <dataValidations count="1">
    <dataValidation type="list" allowBlank="1" showInputMessage="1" showErrorMessage="1" promptTitle="Valitse sähkötyyppi" sqref="C9:C10" xr:uid="{00000000-0002-0000-0200-000000000000}">
      <formula1>$A$17:$A$22</formula1>
    </dataValidation>
  </dataValidations>
  <hyperlinks>
    <hyperlink ref="M24" r:id="rId1" xr:uid="{00000000-0004-0000-0200-000000000000}"/>
  </hyperlinks>
  <pageMargins left="0.75" right="0.75" top="1" bottom="1" header="0.4921259845" footer="0.4921259845"/>
  <pageSetup paperSize="9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Y89"/>
  <sheetViews>
    <sheetView workbookViewId="0">
      <selection activeCell="X6" sqref="X6"/>
    </sheetView>
  </sheetViews>
  <sheetFormatPr defaultRowHeight="13.2"/>
  <cols>
    <col min="1" max="1" width="17.33203125" customWidth="1"/>
    <col min="2" max="2" width="17.88671875" customWidth="1"/>
    <col min="3" max="3" width="19.109375" customWidth="1"/>
    <col min="4" max="4" width="9.6640625" customWidth="1"/>
    <col min="5" max="5" width="10.109375" customWidth="1"/>
    <col min="6" max="6" width="10.44140625" customWidth="1"/>
    <col min="7" max="7" width="16.88671875" customWidth="1"/>
    <col min="8" max="8" width="11.6640625" customWidth="1"/>
    <col min="9" max="13" width="11.6640625" hidden="1" customWidth="1"/>
    <col min="14" max="14" width="13.6640625" hidden="1" customWidth="1"/>
    <col min="15" max="20" width="13.109375" hidden="1" customWidth="1"/>
    <col min="21" max="21" width="11.88671875" hidden="1" customWidth="1"/>
    <col min="22" max="22" width="9.109375" hidden="1" customWidth="1"/>
    <col min="23" max="24" width="9.109375" customWidth="1"/>
    <col min="25" max="25" width="9.109375" hidden="1" customWidth="1"/>
  </cols>
  <sheetData>
    <row r="1" spans="1:25" ht="15.9" customHeight="1">
      <c r="A1" s="4" t="s">
        <v>43</v>
      </c>
    </row>
    <row r="2" spans="1:25" ht="14.25" customHeight="1">
      <c r="A2" s="533" t="s">
        <v>676</v>
      </c>
      <c r="B2" s="533"/>
      <c r="C2" s="533"/>
      <c r="D2" s="533"/>
      <c r="E2" s="533"/>
      <c r="F2" s="533"/>
      <c r="G2" s="533"/>
      <c r="H2" s="533"/>
    </row>
    <row r="3" spans="1:25" ht="18" customHeight="1">
      <c r="A3" s="533"/>
      <c r="B3" s="533"/>
      <c r="C3" s="533"/>
      <c r="D3" s="533"/>
      <c r="E3" s="533"/>
      <c r="F3" s="533"/>
      <c r="G3" s="533"/>
      <c r="H3" s="533"/>
    </row>
    <row r="4" spans="1:25" s="479" customFormat="1" ht="28.5" customHeight="1">
      <c r="A4" s="533" t="s">
        <v>637</v>
      </c>
      <c r="B4" s="533"/>
      <c r="C4" s="533"/>
      <c r="D4" s="533"/>
      <c r="E4" s="533"/>
      <c r="F4" s="506"/>
      <c r="G4" s="506"/>
      <c r="H4" s="478"/>
    </row>
    <row r="5" spans="1:25" ht="13.8" thickBot="1">
      <c r="A5" s="4"/>
      <c r="B5" s="508"/>
      <c r="C5" s="434" t="s">
        <v>614</v>
      </c>
      <c r="E5" s="94"/>
      <c r="F5" s="4"/>
    </row>
    <row r="6" spans="1:25" ht="27" customHeight="1">
      <c r="A6" s="4"/>
      <c r="B6" s="435" t="s">
        <v>586</v>
      </c>
      <c r="C6" s="436" t="s">
        <v>587</v>
      </c>
      <c r="D6" s="436">
        <v>0</v>
      </c>
      <c r="E6" s="420"/>
      <c r="N6" s="41" t="s">
        <v>19</v>
      </c>
      <c r="O6" s="42" t="s">
        <v>22</v>
      </c>
      <c r="P6" s="41" t="s">
        <v>19</v>
      </c>
      <c r="Q6" s="42" t="s">
        <v>22</v>
      </c>
      <c r="R6" s="41" t="s">
        <v>19</v>
      </c>
      <c r="S6" s="73" t="s">
        <v>22</v>
      </c>
      <c r="T6" s="41" t="s">
        <v>19</v>
      </c>
      <c r="U6" s="42" t="s">
        <v>22</v>
      </c>
    </row>
    <row r="7" spans="1:25" ht="32.4">
      <c r="A7" s="31"/>
      <c r="B7" s="38" t="s">
        <v>47</v>
      </c>
      <c r="C7" s="38" t="s">
        <v>48</v>
      </c>
      <c r="D7" s="39" t="s">
        <v>54</v>
      </c>
      <c r="E7" s="39" t="s">
        <v>55</v>
      </c>
      <c r="F7" s="39" t="s">
        <v>56</v>
      </c>
      <c r="G7" s="238" t="s">
        <v>191</v>
      </c>
      <c r="H7" s="194" t="s">
        <v>663</v>
      </c>
      <c r="I7" s="278"/>
      <c r="J7" s="278"/>
      <c r="K7" s="278"/>
      <c r="L7" s="278"/>
      <c r="M7" s="278"/>
      <c r="N7" s="43" t="s">
        <v>49</v>
      </c>
      <c r="O7" s="44" t="s">
        <v>49</v>
      </c>
      <c r="P7" s="43" t="s">
        <v>50</v>
      </c>
      <c r="Q7" s="44" t="s">
        <v>50</v>
      </c>
      <c r="R7" s="43" t="s">
        <v>51</v>
      </c>
      <c r="S7" s="74" t="s">
        <v>51</v>
      </c>
      <c r="T7" s="74" t="s">
        <v>52</v>
      </c>
      <c r="U7" s="194" t="s">
        <v>52</v>
      </c>
    </row>
    <row r="8" spans="1:25" s="80" customFormat="1" ht="15.6">
      <c r="A8" s="35" t="s">
        <v>371</v>
      </c>
      <c r="B8" s="243">
        <v>0</v>
      </c>
      <c r="C8" s="243">
        <v>0</v>
      </c>
      <c r="D8" s="221"/>
      <c r="E8" s="221"/>
      <c r="F8" s="221"/>
      <c r="G8" s="474">
        <v>4.2779999999999999E-2</v>
      </c>
      <c r="H8" s="523">
        <f>T8+U8</f>
        <v>0</v>
      </c>
      <c r="I8" s="279"/>
      <c r="J8" s="279"/>
      <c r="K8" s="279"/>
      <c r="L8" s="279"/>
      <c r="M8" s="279"/>
      <c r="N8" s="251">
        <f>B8*D8</f>
        <v>0</v>
      </c>
      <c r="O8" s="252">
        <f>C10*D10/A32</f>
        <v>0</v>
      </c>
      <c r="P8" s="263">
        <f>B8*E8</f>
        <v>0</v>
      </c>
      <c r="Q8" s="264"/>
      <c r="R8" s="263">
        <f>B8*F8</f>
        <v>0</v>
      </c>
      <c r="S8" s="265"/>
      <c r="T8" s="253">
        <f t="shared" ref="T8:T13" si="0">B8*G8</f>
        <v>0</v>
      </c>
      <c r="U8" s="254">
        <f>C8*G8/A32</f>
        <v>0</v>
      </c>
      <c r="W8" s="4" t="s">
        <v>192</v>
      </c>
      <c r="Y8" s="271" t="s">
        <v>587</v>
      </c>
    </row>
    <row r="9" spans="1:25">
      <c r="A9" s="35" t="s">
        <v>14</v>
      </c>
      <c r="B9" s="243">
        <v>0</v>
      </c>
      <c r="C9" s="243">
        <v>0</v>
      </c>
      <c r="D9" s="250">
        <v>6.4899999999999999E-2</v>
      </c>
      <c r="E9" s="221"/>
      <c r="F9" s="221"/>
      <c r="G9" s="475">
        <f>D9</f>
        <v>6.4899999999999999E-2</v>
      </c>
      <c r="H9" s="523">
        <f t="shared" ref="H9:H15" si="1">T9+U9</f>
        <v>0</v>
      </c>
      <c r="I9" s="280"/>
      <c r="J9" s="280"/>
      <c r="K9" s="280"/>
      <c r="L9" s="280"/>
      <c r="M9" s="280"/>
      <c r="N9" s="255">
        <f t="shared" ref="N9:N15" si="2">B9*D9</f>
        <v>0</v>
      </c>
      <c r="O9" s="252">
        <f>C9*D9/$A$32</f>
        <v>0</v>
      </c>
      <c r="P9" s="266"/>
      <c r="Q9" s="267"/>
      <c r="R9" s="266"/>
      <c r="S9" s="268"/>
      <c r="T9" s="256">
        <f t="shared" si="0"/>
        <v>0</v>
      </c>
      <c r="U9" s="206">
        <f>C9*G9/A32</f>
        <v>0</v>
      </c>
      <c r="Y9" s="271" t="s">
        <v>588</v>
      </c>
    </row>
    <row r="10" spans="1:25" ht="15.6">
      <c r="A10" s="35" t="s">
        <v>15</v>
      </c>
      <c r="B10" s="243">
        <v>0</v>
      </c>
      <c r="C10" s="243">
        <v>0</v>
      </c>
      <c r="D10" s="250">
        <v>7.3099999999999998E-2</v>
      </c>
      <c r="E10" s="269">
        <f>(1/1000)/1000</f>
        <v>9.9999999999999995E-7</v>
      </c>
      <c r="F10" s="269">
        <f>(1/1000)/1000</f>
        <v>9.9999999999999995E-7</v>
      </c>
      <c r="G10" s="475">
        <f t="shared" ref="G10:G15" si="3">1*D10+28*E10+265*F10</f>
        <v>7.3393E-2</v>
      </c>
      <c r="H10" s="523">
        <f t="shared" si="1"/>
        <v>0</v>
      </c>
      <c r="I10" s="280"/>
      <c r="J10" s="280"/>
      <c r="K10" s="280"/>
      <c r="L10" s="280"/>
      <c r="M10" s="280"/>
      <c r="N10" s="255">
        <f t="shared" si="2"/>
        <v>0</v>
      </c>
      <c r="O10" s="252">
        <f>C10*D10/$A$32</f>
        <v>0</v>
      </c>
      <c r="P10" s="266">
        <f t="shared" ref="P10:P15" si="4">B10*E10</f>
        <v>0</v>
      </c>
      <c r="Q10" s="267">
        <f>C10*E10/A32</f>
        <v>0</v>
      </c>
      <c r="R10" s="266">
        <f t="shared" ref="R10:R15" si="5">B10*F10</f>
        <v>0</v>
      </c>
      <c r="S10" s="268">
        <f>C10*F10/A32</f>
        <v>0</v>
      </c>
      <c r="T10" s="256">
        <f t="shared" si="0"/>
        <v>0</v>
      </c>
      <c r="U10" s="206">
        <f>C10*G10/A32</f>
        <v>0</v>
      </c>
      <c r="W10" s="27" t="s">
        <v>178</v>
      </c>
      <c r="Y10" s="271" t="s">
        <v>589</v>
      </c>
    </row>
    <row r="11" spans="1:25">
      <c r="A11" s="35" t="s">
        <v>359</v>
      </c>
      <c r="B11" s="243">
        <v>0</v>
      </c>
      <c r="C11" s="243">
        <v>0</v>
      </c>
      <c r="D11" s="250">
        <v>7.8399999999999997E-2</v>
      </c>
      <c r="E11" s="269">
        <f>(1/1000)/1000</f>
        <v>9.9999999999999995E-7</v>
      </c>
      <c r="F11" s="269">
        <f>(1/1000)/1000</f>
        <v>9.9999999999999995E-7</v>
      </c>
      <c r="G11" s="475">
        <f t="shared" si="3"/>
        <v>7.8692999999999999E-2</v>
      </c>
      <c r="H11" s="523">
        <f t="shared" si="1"/>
        <v>0</v>
      </c>
      <c r="I11" s="280"/>
      <c r="J11" s="280"/>
      <c r="K11" s="280"/>
      <c r="L11" s="280"/>
      <c r="M11" s="280"/>
      <c r="N11" s="255">
        <f t="shared" si="2"/>
        <v>0</v>
      </c>
      <c r="O11" s="252">
        <f>C11*D11/A32</f>
        <v>0</v>
      </c>
      <c r="P11" s="266">
        <f t="shared" si="4"/>
        <v>0</v>
      </c>
      <c r="Q11" s="267">
        <f>C11*E11/A32</f>
        <v>0</v>
      </c>
      <c r="R11" s="266">
        <f t="shared" si="5"/>
        <v>0</v>
      </c>
      <c r="S11" s="268">
        <f>C11*F11/A32</f>
        <v>0</v>
      </c>
      <c r="T11" s="256">
        <f t="shared" si="0"/>
        <v>0</v>
      </c>
      <c r="U11" s="206">
        <f>C11*G11/A32</f>
        <v>0</v>
      </c>
    </row>
    <row r="12" spans="1:25">
      <c r="A12" s="35" t="s">
        <v>17</v>
      </c>
      <c r="B12" s="243">
        <v>0</v>
      </c>
      <c r="C12" s="243">
        <v>0</v>
      </c>
      <c r="D12" s="250">
        <v>5.5300000000000002E-2</v>
      </c>
      <c r="E12" s="270"/>
      <c r="F12" s="270"/>
      <c r="G12" s="475">
        <f t="shared" si="3"/>
        <v>5.5300000000000002E-2</v>
      </c>
      <c r="H12" s="523">
        <f t="shared" si="1"/>
        <v>0</v>
      </c>
      <c r="I12" s="280"/>
      <c r="J12" s="280"/>
      <c r="K12" s="280"/>
      <c r="L12" s="280"/>
      <c r="M12" s="280"/>
      <c r="N12" s="255">
        <f t="shared" si="2"/>
        <v>0</v>
      </c>
      <c r="O12" s="252">
        <f>C12*D12/A32</f>
        <v>0</v>
      </c>
      <c r="P12" s="266"/>
      <c r="Q12" s="267"/>
      <c r="R12" s="266"/>
      <c r="S12" s="268"/>
      <c r="T12" s="256">
        <f t="shared" si="0"/>
        <v>0</v>
      </c>
      <c r="U12" s="206">
        <f>C12*G12/A32</f>
        <v>0</v>
      </c>
    </row>
    <row r="13" spans="1:25">
      <c r="A13" s="35" t="s">
        <v>363</v>
      </c>
      <c r="B13" s="243">
        <v>0</v>
      </c>
      <c r="C13" s="243">
        <v>0</v>
      </c>
      <c r="D13" s="250">
        <v>0.1026</v>
      </c>
      <c r="E13" s="269">
        <f>(4/1000)/1000</f>
        <v>3.9999999999999998E-6</v>
      </c>
      <c r="F13" s="269">
        <f>(3/1000)/1000</f>
        <v>3.0000000000000001E-6</v>
      </c>
      <c r="G13" s="475">
        <f t="shared" si="3"/>
        <v>0.103507</v>
      </c>
      <c r="H13" s="523">
        <f t="shared" si="1"/>
        <v>0</v>
      </c>
      <c r="I13" s="280"/>
      <c r="J13" s="280"/>
      <c r="K13" s="280"/>
      <c r="L13" s="280"/>
      <c r="M13" s="280"/>
      <c r="N13" s="255">
        <f t="shared" si="2"/>
        <v>0</v>
      </c>
      <c r="O13" s="252">
        <f>C13*D13/A32</f>
        <v>0</v>
      </c>
      <c r="P13" s="266">
        <f t="shared" si="4"/>
        <v>0</v>
      </c>
      <c r="Q13" s="267">
        <f>C13*E13/A32</f>
        <v>0</v>
      </c>
      <c r="R13" s="266">
        <f t="shared" si="5"/>
        <v>0</v>
      </c>
      <c r="S13" s="268">
        <f>C13*F13/A32</f>
        <v>0</v>
      </c>
      <c r="T13" s="256">
        <f t="shared" si="0"/>
        <v>0</v>
      </c>
      <c r="U13" s="206">
        <f>C13*G13/A32</f>
        <v>0</v>
      </c>
    </row>
    <row r="14" spans="1:25" ht="31.5" customHeight="1">
      <c r="A14" s="39" t="s">
        <v>364</v>
      </c>
      <c r="B14" s="243">
        <v>0</v>
      </c>
      <c r="C14" s="243">
        <v>0</v>
      </c>
      <c r="D14" s="250">
        <v>0.112</v>
      </c>
      <c r="E14" s="269">
        <f>(2/1000)/1000</f>
        <v>1.9999999999999999E-6</v>
      </c>
      <c r="F14" s="269">
        <f>(3/1000)/1000</f>
        <v>3.0000000000000001E-6</v>
      </c>
      <c r="G14" s="475">
        <f t="shared" si="3"/>
        <v>0.11285100000000001</v>
      </c>
      <c r="H14" s="523">
        <f t="shared" si="1"/>
        <v>0</v>
      </c>
      <c r="I14" s="280"/>
      <c r="J14" s="280"/>
      <c r="K14" s="280"/>
      <c r="L14" s="280"/>
      <c r="M14" s="280"/>
      <c r="N14" s="257">
        <f t="shared" si="2"/>
        <v>0</v>
      </c>
      <c r="O14" s="258">
        <f>C14*D14/A32</f>
        <v>0</v>
      </c>
      <c r="P14" s="266">
        <f t="shared" si="4"/>
        <v>0</v>
      </c>
      <c r="Q14" s="267">
        <f>C14*E14/A32</f>
        <v>0</v>
      </c>
      <c r="R14" s="266">
        <f t="shared" si="5"/>
        <v>0</v>
      </c>
      <c r="S14" s="268">
        <f>C14*F14/A32</f>
        <v>0</v>
      </c>
      <c r="T14" s="259">
        <f>($G14-$D14)*B14</f>
        <v>0</v>
      </c>
      <c r="U14" s="260">
        <f>($G14-$D14)*C14/$A$32</f>
        <v>0</v>
      </c>
      <c r="W14" s="27" t="s">
        <v>408</v>
      </c>
    </row>
    <row r="15" spans="1:25" ht="27.6">
      <c r="A15" s="39" t="s">
        <v>53</v>
      </c>
      <c r="B15" s="243">
        <v>0</v>
      </c>
      <c r="C15" s="243">
        <v>0</v>
      </c>
      <c r="D15" s="250">
        <v>9.5500000000000002E-2</v>
      </c>
      <c r="E15" s="269">
        <f>(2/1000)/1000</f>
        <v>1.9999999999999999E-6</v>
      </c>
      <c r="F15" s="269">
        <f>(3/1000)/1000</f>
        <v>3.0000000000000001E-6</v>
      </c>
      <c r="G15" s="475">
        <f t="shared" si="3"/>
        <v>9.6351000000000006E-2</v>
      </c>
      <c r="H15" s="523">
        <f t="shared" si="1"/>
        <v>0</v>
      </c>
      <c r="I15" s="280"/>
      <c r="J15" s="280"/>
      <c r="K15" s="280"/>
      <c r="L15" s="280"/>
      <c r="M15" s="280"/>
      <c r="N15" s="257">
        <f t="shared" si="2"/>
        <v>0</v>
      </c>
      <c r="O15" s="258">
        <f>C15*D15/A32</f>
        <v>0</v>
      </c>
      <c r="P15" s="266">
        <f t="shared" si="4"/>
        <v>0</v>
      </c>
      <c r="Q15" s="267">
        <f>C15*E15/A32</f>
        <v>0</v>
      </c>
      <c r="R15" s="266">
        <f t="shared" si="5"/>
        <v>0</v>
      </c>
      <c r="S15" s="268">
        <f>C15*F15/A32</f>
        <v>0</v>
      </c>
      <c r="T15" s="253">
        <f>($G15-$D15)*B15</f>
        <v>0</v>
      </c>
      <c r="U15" s="254">
        <f>($G15-$D15)*C15/$A$32</f>
        <v>0</v>
      </c>
      <c r="W15" s="27" t="s">
        <v>408</v>
      </c>
    </row>
    <row r="16" spans="1:25" ht="18" customHeight="1" thickBot="1">
      <c r="A16" s="35" t="s">
        <v>23</v>
      </c>
      <c r="B16" s="243">
        <v>0</v>
      </c>
      <c r="C16" s="243">
        <v>0</v>
      </c>
      <c r="D16" s="250">
        <v>5.4600000000000003E-2</v>
      </c>
      <c r="E16" s="269">
        <f>(2/1000)/1000</f>
        <v>1.9999999999999999E-6</v>
      </c>
      <c r="F16" s="269">
        <f>(3/1000)/1000</f>
        <v>3.0000000000000001E-6</v>
      </c>
      <c r="G16" s="475">
        <f>1*D16+28*E16+265*F16</f>
        <v>5.5451E-2</v>
      </c>
      <c r="H16" s="523">
        <f>T16+U16</f>
        <v>0</v>
      </c>
      <c r="I16" s="281"/>
      <c r="J16" s="281"/>
      <c r="K16" s="281"/>
      <c r="L16" s="281"/>
      <c r="M16" s="281"/>
      <c r="N16" s="261">
        <f>B16*D16</f>
        <v>0</v>
      </c>
      <c r="O16" s="262">
        <f>C16*D16/A32</f>
        <v>0</v>
      </c>
      <c r="P16" s="266">
        <f>B16*E16</f>
        <v>0</v>
      </c>
      <c r="Q16" s="267">
        <f>C16*E16/A32</f>
        <v>0</v>
      </c>
      <c r="R16" s="266">
        <f>B16*F16</f>
        <v>0</v>
      </c>
      <c r="S16" s="268">
        <f>C16*F16/A32</f>
        <v>0</v>
      </c>
      <c r="T16" s="256">
        <f>($G16-$D16)*B16</f>
        <v>0</v>
      </c>
      <c r="U16" s="206">
        <f>($G16-$D16)*C16/$A$32</f>
        <v>0</v>
      </c>
      <c r="W16" s="27" t="s">
        <v>408</v>
      </c>
    </row>
    <row r="17" spans="1:21" ht="13.8" hidden="1" thickBot="1">
      <c r="B17" s="38">
        <v>3.6</v>
      </c>
      <c r="H17" s="523"/>
      <c r="T17" s="50"/>
      <c r="U17" s="196"/>
    </row>
    <row r="18" spans="1:21" ht="18.600000000000001" thickBot="1">
      <c r="A18" s="12" t="s">
        <v>635</v>
      </c>
      <c r="B18" s="12"/>
      <c r="C18" s="12"/>
      <c r="D18" s="7"/>
      <c r="E18" s="7"/>
      <c r="F18" s="7"/>
      <c r="G18" s="12" t="s">
        <v>450</v>
      </c>
      <c r="H18" s="524">
        <f>SUM(H8:H13)</f>
        <v>0</v>
      </c>
      <c r="I18" s="7"/>
      <c r="J18" s="7"/>
      <c r="K18" s="7"/>
      <c r="L18" s="7"/>
      <c r="M18" s="7"/>
      <c r="N18" s="174">
        <f>SUMIF(N8:O13,"&gt;0")</f>
        <v>0</v>
      </c>
      <c r="O18" s="175" t="s">
        <v>118</v>
      </c>
      <c r="P18" s="174">
        <f>SUMIF(P8:Q16,"&gt;0")</f>
        <v>0</v>
      </c>
      <c r="Q18" s="176" t="s">
        <v>119</v>
      </c>
      <c r="R18" s="174">
        <f>SUMIF(R8:S16,"&gt;0")</f>
        <v>0</v>
      </c>
      <c r="S18" s="176" t="s">
        <v>120</v>
      </c>
      <c r="T18" s="177">
        <f>SUMIF(T8:U13,"&gt;0")</f>
        <v>0</v>
      </c>
      <c r="U18" s="197" t="s">
        <v>31</v>
      </c>
    </row>
    <row r="19" spans="1:21" ht="16.2" thickBot="1">
      <c r="A19" s="12"/>
      <c r="B19" s="12"/>
      <c r="C19" s="12"/>
      <c r="D19" s="7"/>
      <c r="E19" s="7"/>
      <c r="F19" s="7"/>
      <c r="G19" s="12" t="s">
        <v>590</v>
      </c>
      <c r="H19" s="524">
        <f>IF(C6="kyllä",H18*D6,0)</f>
        <v>0</v>
      </c>
      <c r="I19" s="7"/>
      <c r="J19" s="7"/>
      <c r="K19" s="7"/>
      <c r="L19" s="7"/>
      <c r="M19" s="7"/>
      <c r="N19" s="308"/>
      <c r="O19" s="308"/>
      <c r="P19" s="308"/>
      <c r="Q19" s="308"/>
      <c r="R19" s="308"/>
      <c r="S19" s="308"/>
      <c r="T19" s="310">
        <f>H19</f>
        <v>0</v>
      </c>
      <c r="U19" s="309"/>
    </row>
    <row r="20" spans="1:21" ht="16.2" thickBot="1">
      <c r="A20" s="12"/>
      <c r="B20" s="12"/>
      <c r="C20" s="12"/>
      <c r="D20" s="7"/>
      <c r="E20" s="7"/>
      <c r="F20" s="7"/>
      <c r="G20" s="131" t="s">
        <v>593</v>
      </c>
      <c r="H20" s="525">
        <f>H18-H19</f>
        <v>0</v>
      </c>
      <c r="I20" s="7"/>
      <c r="J20" s="7"/>
      <c r="K20" s="7"/>
      <c r="L20" s="7"/>
      <c r="M20" s="7"/>
      <c r="N20" s="308"/>
      <c r="O20" s="308"/>
      <c r="P20" s="308"/>
      <c r="Q20" s="308"/>
      <c r="R20" s="308"/>
      <c r="S20" s="308"/>
      <c r="T20" s="310">
        <f>H20</f>
        <v>0</v>
      </c>
      <c r="U20" s="309"/>
    </row>
    <row r="21" spans="1:21" ht="16.8" thickBot="1">
      <c r="A21" s="12" t="s">
        <v>636</v>
      </c>
      <c r="B21" s="12"/>
      <c r="C21" s="12"/>
      <c r="D21" s="7"/>
      <c r="E21" s="7"/>
      <c r="F21" s="7"/>
      <c r="G21" s="7"/>
      <c r="H21" s="524">
        <f>SUM(H14:H16)</f>
        <v>0</v>
      </c>
      <c r="I21" s="7"/>
      <c r="J21" s="7"/>
      <c r="K21" s="7"/>
      <c r="L21" s="7"/>
      <c r="M21" s="7"/>
      <c r="N21" s="308"/>
      <c r="O21" s="308"/>
      <c r="P21" s="308"/>
      <c r="Q21" s="308"/>
      <c r="R21" s="308"/>
      <c r="S21" s="308"/>
      <c r="T21" s="310">
        <f>SUM(T14:U16)</f>
        <v>0</v>
      </c>
      <c r="U21" s="309"/>
    </row>
    <row r="22" spans="1:21" ht="16.2" thickBot="1">
      <c r="A22" s="12"/>
      <c r="B22" s="12"/>
      <c r="C22" s="12"/>
      <c r="D22" s="7"/>
      <c r="E22" s="7"/>
      <c r="F22" s="7"/>
      <c r="G22" s="12" t="s">
        <v>590</v>
      </c>
      <c r="H22" s="524">
        <f>IF(C6="kyllä",H21*D6,0)</f>
        <v>0</v>
      </c>
      <c r="I22" s="7"/>
      <c r="J22" s="7"/>
      <c r="K22" s="7"/>
      <c r="L22" s="7"/>
      <c r="M22" s="7"/>
      <c r="N22" s="308"/>
      <c r="O22" s="308"/>
      <c r="P22" s="308"/>
      <c r="Q22" s="308"/>
      <c r="R22" s="308"/>
      <c r="S22" s="308"/>
      <c r="T22" s="310">
        <f>H22</f>
        <v>0</v>
      </c>
      <c r="U22" s="309"/>
    </row>
    <row r="23" spans="1:21" ht="16.2" thickBot="1">
      <c r="A23" s="12"/>
      <c r="B23" s="12"/>
      <c r="C23" s="12"/>
      <c r="D23" s="7"/>
      <c r="E23" s="7"/>
      <c r="F23" s="7"/>
      <c r="G23" s="131" t="s">
        <v>593</v>
      </c>
      <c r="H23" s="525">
        <f>H21-H22</f>
        <v>0</v>
      </c>
      <c r="I23" s="7"/>
      <c r="J23" s="7"/>
      <c r="K23" s="7"/>
      <c r="L23" s="7"/>
      <c r="M23" s="7"/>
      <c r="N23" s="308"/>
      <c r="O23" s="308"/>
      <c r="P23" s="308"/>
      <c r="Q23" s="308"/>
      <c r="R23" s="308"/>
      <c r="S23" s="308"/>
      <c r="T23" s="310">
        <f>H23</f>
        <v>0</v>
      </c>
      <c r="U23" s="309"/>
    </row>
    <row r="24" spans="1:21" s="80" customFormat="1" ht="16.2">
      <c r="A24" s="170" t="s">
        <v>460</v>
      </c>
      <c r="B24" s="170"/>
      <c r="C24" s="170"/>
      <c r="D24" s="170"/>
      <c r="E24" s="170"/>
      <c r="F24" s="170"/>
      <c r="G24" s="170"/>
      <c r="H24" s="526">
        <f>N25</f>
        <v>0</v>
      </c>
      <c r="I24" s="170"/>
      <c r="J24" s="170"/>
      <c r="K24" s="170"/>
      <c r="L24" s="170"/>
      <c r="M24" s="170"/>
      <c r="T24" s="177">
        <f>SUMIF(T8:U17,"&gt;0")</f>
        <v>0</v>
      </c>
      <c r="U24" s="271" t="s">
        <v>451</v>
      </c>
    </row>
    <row r="25" spans="1:21" ht="16.2" thickBot="1">
      <c r="N25" s="171">
        <f>SUMIF(N14:O16,"&gt;0")</f>
        <v>0</v>
      </c>
      <c r="O25" s="172" t="s">
        <v>373</v>
      </c>
      <c r="P25" s="171">
        <f>SUMIF(P14:Q16,"&gt;0")</f>
        <v>0</v>
      </c>
      <c r="Q25" s="173" t="s">
        <v>374</v>
      </c>
      <c r="R25" s="171">
        <f>SUMIF(R14:S16,"&gt;0")</f>
        <v>0</v>
      </c>
      <c r="S25" s="173" t="s">
        <v>375</v>
      </c>
      <c r="T25" s="173">
        <f>N25+28*P25+265*R25</f>
        <v>0</v>
      </c>
      <c r="U25" s="198" t="s">
        <v>376</v>
      </c>
    </row>
    <row r="26" spans="1:21" s="15" customFormat="1" hidden="1"/>
    <row r="27" spans="1:21" s="15" customFormat="1" hidden="1">
      <c r="A27" s="14"/>
      <c r="N27" s="16"/>
      <c r="O27" s="16"/>
      <c r="P27" s="16"/>
      <c r="Q27" s="16"/>
      <c r="R27" s="16"/>
      <c r="S27" s="16"/>
      <c r="T27" s="16"/>
    </row>
    <row r="28" spans="1:21" ht="11.25" customHeight="1">
      <c r="A28" s="5" t="s">
        <v>639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>
      <c r="A29" s="5" t="s">
        <v>422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idden="1">
      <c r="G30" s="169">
        <f>164-N30*28-O30*265</f>
        <v>163.93860000000001</v>
      </c>
      <c r="H30" s="169"/>
      <c r="I30" s="169"/>
      <c r="J30" s="169"/>
      <c r="K30" s="169"/>
      <c r="L30" s="169"/>
      <c r="M30" s="169"/>
      <c r="N30" s="39">
        <v>2.9999999999999997E-4</v>
      </c>
      <c r="O30" s="39">
        <v>2.0000000000000001E-4</v>
      </c>
      <c r="P30" s="40">
        <f>SUM(G30:O30)</f>
        <v>163.93910000000002</v>
      </c>
    </row>
    <row r="31" spans="1:21" hidden="1">
      <c r="A31" t="s">
        <v>21</v>
      </c>
      <c r="C31" t="s">
        <v>39</v>
      </c>
      <c r="G31">
        <f>G30*$A$32/1000</f>
        <v>4.553850000000001E-2</v>
      </c>
      <c r="N31">
        <f>N30*$A$32/1000</f>
        <v>8.3333333333333325E-8</v>
      </c>
      <c r="O31">
        <f>O30*$A$32/1000</f>
        <v>5.5555555555555561E-8</v>
      </c>
      <c r="P31">
        <f>P30*$A$32/1000</f>
        <v>4.5538638888888899E-2</v>
      </c>
    </row>
    <row r="32" spans="1:21" hidden="1">
      <c r="A32" s="10">
        <f>1/3.6</f>
        <v>0.27777777777777779</v>
      </c>
      <c r="B32" t="s">
        <v>22</v>
      </c>
      <c r="C32" s="10">
        <v>3.6</v>
      </c>
      <c r="D32" t="s">
        <v>19</v>
      </c>
    </row>
    <row r="33" spans="1:23" hidden="1">
      <c r="A33" s="10"/>
    </row>
    <row r="34" spans="1:23">
      <c r="A34" s="10"/>
    </row>
    <row r="35" spans="1:23" hidden="1">
      <c r="A35" s="27" t="s">
        <v>45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23" ht="13.8" hidden="1" thickBot="1">
      <c r="A36" s="27" t="s">
        <v>40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3" hidden="1">
      <c r="N37" s="41" t="s">
        <v>19</v>
      </c>
      <c r="O37" s="42" t="s">
        <v>20</v>
      </c>
      <c r="P37" s="41" t="s">
        <v>19</v>
      </c>
      <c r="Q37" s="42" t="s">
        <v>22</v>
      </c>
      <c r="R37" s="41" t="s">
        <v>19</v>
      </c>
      <c r="S37" s="42" t="s">
        <v>22</v>
      </c>
      <c r="T37" s="41" t="s">
        <v>19</v>
      </c>
      <c r="U37" s="42" t="s">
        <v>22</v>
      </c>
    </row>
    <row r="38" spans="1:23" ht="32.4" hidden="1">
      <c r="A38" s="31"/>
      <c r="B38" s="243" t="s">
        <v>47</v>
      </c>
      <c r="C38" s="243" t="s">
        <v>48</v>
      </c>
      <c r="D38" s="39" t="s">
        <v>54</v>
      </c>
      <c r="E38" s="39" t="s">
        <v>55</v>
      </c>
      <c r="F38" s="39" t="s">
        <v>56</v>
      </c>
      <c r="G38" s="40" t="s">
        <v>58</v>
      </c>
      <c r="H38" s="282" t="str">
        <f t="shared" ref="H38:H47" si="6">H7</f>
        <v>Yhteensä
kg CO2-ekv</v>
      </c>
      <c r="I38" s="282"/>
      <c r="J38" s="282"/>
      <c r="K38" s="282"/>
      <c r="L38" s="282"/>
      <c r="M38" s="282"/>
      <c r="N38" s="43" t="s">
        <v>49</v>
      </c>
      <c r="O38" s="44" t="s">
        <v>49</v>
      </c>
      <c r="P38" s="43" t="s">
        <v>50</v>
      </c>
      <c r="Q38" s="44" t="s">
        <v>50</v>
      </c>
      <c r="R38" s="43" t="s">
        <v>51</v>
      </c>
      <c r="S38" s="44" t="s">
        <v>51</v>
      </c>
      <c r="T38" s="44" t="s">
        <v>57</v>
      </c>
      <c r="U38" s="194" t="s">
        <v>57</v>
      </c>
    </row>
    <row r="39" spans="1:23" s="80" customFormat="1" ht="15.6" hidden="1">
      <c r="A39" s="35" t="s">
        <v>372</v>
      </c>
      <c r="B39" s="243">
        <f t="shared" ref="B39:C41" si="7">B8</f>
        <v>0</v>
      </c>
      <c r="C39" s="243">
        <f t="shared" si="7"/>
        <v>0</v>
      </c>
      <c r="D39" s="221">
        <v>4.553850000000001E-2</v>
      </c>
      <c r="E39" s="39">
        <v>8.3333333333333325E-8</v>
      </c>
      <c r="F39" s="39">
        <v>5.5555555555555561E-8</v>
      </c>
      <c r="G39" s="40">
        <f>G8</f>
        <v>4.2779999999999999E-2</v>
      </c>
      <c r="H39" s="282">
        <f t="shared" si="6"/>
        <v>0</v>
      </c>
      <c r="I39" s="282"/>
      <c r="J39" s="282"/>
      <c r="K39" s="282"/>
      <c r="L39" s="282"/>
      <c r="M39" s="282"/>
      <c r="N39" s="165">
        <f>B39*D39</f>
        <v>0</v>
      </c>
      <c r="O39" s="46">
        <f>C39*D39/$A$32</f>
        <v>0</v>
      </c>
      <c r="P39" s="165">
        <f>B39*E39</f>
        <v>0</v>
      </c>
      <c r="Q39" s="166">
        <f>C39*E39/A32</f>
        <v>0</v>
      </c>
      <c r="R39" s="165">
        <f>B39*F39</f>
        <v>0</v>
      </c>
      <c r="S39" s="167">
        <f>C39*F39/A32</f>
        <v>0</v>
      </c>
      <c r="T39" s="167">
        <f t="shared" ref="T39:T44" si="8">B39*G39</f>
        <v>0</v>
      </c>
      <c r="U39" s="195">
        <f>C39*G39/A32</f>
        <v>0</v>
      </c>
      <c r="W39" s="4" t="s">
        <v>190</v>
      </c>
    </row>
    <row r="40" spans="1:23" ht="15.6" hidden="1">
      <c r="A40" s="35" t="s">
        <v>14</v>
      </c>
      <c r="B40" s="243">
        <f t="shared" si="7"/>
        <v>0</v>
      </c>
      <c r="C40" s="243">
        <f t="shared" si="7"/>
        <v>0</v>
      </c>
      <c r="D40" s="75">
        <v>6.4899999999999999E-2</v>
      </c>
      <c r="E40" s="39"/>
      <c r="F40" s="39"/>
      <c r="G40" s="168">
        <f>D40</f>
        <v>6.4899999999999999E-2</v>
      </c>
      <c r="H40" s="283">
        <f t="shared" si="6"/>
        <v>0</v>
      </c>
      <c r="I40" s="283"/>
      <c r="J40" s="283"/>
      <c r="K40" s="283"/>
      <c r="L40" s="283"/>
      <c r="M40" s="283"/>
      <c r="N40" s="45">
        <f>B40*D40</f>
        <v>0</v>
      </c>
      <c r="O40" s="46">
        <f>C40*D40/$A$32</f>
        <v>0</v>
      </c>
      <c r="P40" s="45">
        <f>B40*E40</f>
        <v>0</v>
      </c>
      <c r="Q40" s="46">
        <f>C40*E40/A32</f>
        <v>0</v>
      </c>
      <c r="R40" s="45">
        <f>B40*F40</f>
        <v>0</v>
      </c>
      <c r="S40" s="46">
        <f>C40*F40/A32</f>
        <v>0</v>
      </c>
      <c r="T40" s="46">
        <f t="shared" si="8"/>
        <v>0</v>
      </c>
      <c r="U40" s="8">
        <f>C40*G40/A32</f>
        <v>0</v>
      </c>
      <c r="W40" s="27" t="s">
        <v>189</v>
      </c>
    </row>
    <row r="41" spans="1:23" hidden="1">
      <c r="A41" s="35" t="s">
        <v>15</v>
      </c>
      <c r="B41" s="243">
        <f t="shared" si="7"/>
        <v>0</v>
      </c>
      <c r="C41" s="243">
        <f t="shared" si="7"/>
        <v>0</v>
      </c>
      <c r="D41" s="75">
        <v>7.3099999999999998E-2</v>
      </c>
      <c r="E41" s="75">
        <f>(1/1000)/1000</f>
        <v>9.9999999999999995E-7</v>
      </c>
      <c r="F41" s="75">
        <f>(1/1000)/1000</f>
        <v>9.9999999999999995E-7</v>
      </c>
      <c r="G41" s="168">
        <f t="shared" ref="G41:G47" si="9">1*D41+28*E41+265*F41</f>
        <v>7.3393E-2</v>
      </c>
      <c r="H41" s="283">
        <f t="shared" si="6"/>
        <v>0</v>
      </c>
      <c r="I41" s="283"/>
      <c r="J41" s="283"/>
      <c r="K41" s="283"/>
      <c r="L41" s="283"/>
      <c r="M41" s="283"/>
      <c r="N41" s="45">
        <f t="shared" ref="N41:N47" si="10">B41*D41</f>
        <v>0</v>
      </c>
      <c r="O41" s="46">
        <f>C41*D41/A32</f>
        <v>0</v>
      </c>
      <c r="P41" s="45">
        <f t="shared" ref="P41:P47" si="11">B41*E41</f>
        <v>0</v>
      </c>
      <c r="Q41" s="46">
        <f>C41*E41/A32</f>
        <v>0</v>
      </c>
      <c r="R41" s="45">
        <f t="shared" ref="R41:R47" si="12">B41*F41</f>
        <v>0</v>
      </c>
      <c r="S41" s="46">
        <f>C41*F41/A32</f>
        <v>0</v>
      </c>
      <c r="T41" s="46">
        <f t="shared" si="8"/>
        <v>0</v>
      </c>
      <c r="U41" s="8">
        <f>C41*G41/A32</f>
        <v>0</v>
      </c>
    </row>
    <row r="42" spans="1:23" hidden="1">
      <c r="A42" s="35" t="s">
        <v>359</v>
      </c>
      <c r="B42" s="243">
        <f t="shared" ref="B42:C42" si="13">B11</f>
        <v>0</v>
      </c>
      <c r="C42" s="243">
        <f t="shared" si="13"/>
        <v>0</v>
      </c>
      <c r="D42" s="75">
        <v>7.8399999999999997E-2</v>
      </c>
      <c r="E42" s="75">
        <f>(1/1000)/1000</f>
        <v>9.9999999999999995E-7</v>
      </c>
      <c r="F42" s="75">
        <f>(1/1000)/1000</f>
        <v>9.9999999999999995E-7</v>
      </c>
      <c r="G42" s="168">
        <f t="shared" si="9"/>
        <v>7.8692999999999999E-2</v>
      </c>
      <c r="H42" s="283">
        <f t="shared" si="6"/>
        <v>0</v>
      </c>
      <c r="I42" s="283"/>
      <c r="J42" s="283"/>
      <c r="K42" s="283"/>
      <c r="L42" s="283"/>
      <c r="M42" s="283"/>
      <c r="N42" s="45">
        <f t="shared" si="10"/>
        <v>0</v>
      </c>
      <c r="O42" s="46">
        <f>C42*D42/A32</f>
        <v>0</v>
      </c>
      <c r="P42" s="45">
        <f t="shared" si="11"/>
        <v>0</v>
      </c>
      <c r="Q42" s="46">
        <f>C42*E42/A32</f>
        <v>0</v>
      </c>
      <c r="R42" s="45">
        <f t="shared" si="12"/>
        <v>0</v>
      </c>
      <c r="S42" s="46">
        <f>C42*F42/A32</f>
        <v>0</v>
      </c>
      <c r="T42" s="46">
        <f t="shared" si="8"/>
        <v>0</v>
      </c>
      <c r="U42" s="8">
        <f>C42*G42/A32</f>
        <v>0</v>
      </c>
    </row>
    <row r="43" spans="1:23" hidden="1">
      <c r="A43" s="35" t="s">
        <v>17</v>
      </c>
      <c r="B43" s="243">
        <f t="shared" ref="B43:C43" si="14">B12</f>
        <v>0</v>
      </c>
      <c r="C43" s="243">
        <f t="shared" si="14"/>
        <v>0</v>
      </c>
      <c r="D43" s="75">
        <v>5.5300000000000002E-2</v>
      </c>
      <c r="E43" s="39"/>
      <c r="F43" s="39"/>
      <c r="G43" s="168">
        <f t="shared" si="9"/>
        <v>5.5300000000000002E-2</v>
      </c>
      <c r="H43" s="283">
        <f t="shared" si="6"/>
        <v>0</v>
      </c>
      <c r="I43" s="283"/>
      <c r="J43" s="283"/>
      <c r="K43" s="283"/>
      <c r="L43" s="283"/>
      <c r="M43" s="283"/>
      <c r="N43" s="45">
        <f t="shared" si="10"/>
        <v>0</v>
      </c>
      <c r="O43" s="46">
        <f>C43*D43/A32</f>
        <v>0</v>
      </c>
      <c r="P43" s="45">
        <f t="shared" si="11"/>
        <v>0</v>
      </c>
      <c r="Q43" s="46">
        <f>C43*E43/A32</f>
        <v>0</v>
      </c>
      <c r="R43" s="45">
        <f t="shared" si="12"/>
        <v>0</v>
      </c>
      <c r="S43" s="46">
        <f>C43*F43/A32</f>
        <v>0</v>
      </c>
      <c r="T43" s="46">
        <f t="shared" si="8"/>
        <v>0</v>
      </c>
      <c r="U43" s="8">
        <f>C43*G43/A32</f>
        <v>0</v>
      </c>
    </row>
    <row r="44" spans="1:23" hidden="1">
      <c r="A44" s="35" t="s">
        <v>363</v>
      </c>
      <c r="B44" s="243">
        <f t="shared" ref="B44:C44" si="15">B13</f>
        <v>0</v>
      </c>
      <c r="C44" s="243">
        <f t="shared" si="15"/>
        <v>0</v>
      </c>
      <c r="D44" s="75">
        <v>0.1026</v>
      </c>
      <c r="E44" s="75">
        <f>(4/1000)/1000</f>
        <v>3.9999999999999998E-6</v>
      </c>
      <c r="F44" s="75">
        <f>(3/1000)/1000</f>
        <v>3.0000000000000001E-6</v>
      </c>
      <c r="G44" s="168">
        <f t="shared" si="9"/>
        <v>0.103507</v>
      </c>
      <c r="H44" s="283">
        <f t="shared" si="6"/>
        <v>0</v>
      </c>
      <c r="I44" s="283"/>
      <c r="J44" s="283"/>
      <c r="K44" s="283"/>
      <c r="L44" s="283"/>
      <c r="M44" s="283"/>
      <c r="N44" s="45">
        <f t="shared" si="10"/>
        <v>0</v>
      </c>
      <c r="O44" s="46">
        <f>C44*D44/A32</f>
        <v>0</v>
      </c>
      <c r="P44" s="45">
        <f t="shared" si="11"/>
        <v>0</v>
      </c>
      <c r="Q44" s="46">
        <f>C44*E44/A32</f>
        <v>0</v>
      </c>
      <c r="R44" s="45">
        <f t="shared" si="12"/>
        <v>0</v>
      </c>
      <c r="S44" s="46">
        <f>C44*F44/A32</f>
        <v>0</v>
      </c>
      <c r="T44" s="46">
        <f t="shared" si="8"/>
        <v>0</v>
      </c>
      <c r="U44" s="8">
        <f>C44*G44/A32</f>
        <v>0</v>
      </c>
    </row>
    <row r="45" spans="1:23" ht="40.799999999999997" hidden="1">
      <c r="A45" s="39" t="s">
        <v>364</v>
      </c>
      <c r="B45" s="243">
        <f t="shared" ref="B45:C45" si="16">B14</f>
        <v>0</v>
      </c>
      <c r="C45" s="243">
        <f t="shared" si="16"/>
        <v>0</v>
      </c>
      <c r="D45" s="75">
        <v>0.112</v>
      </c>
      <c r="E45" s="75">
        <f>(2/1000)/1000</f>
        <v>1.9999999999999999E-6</v>
      </c>
      <c r="F45" s="75">
        <f>(3/1000)/1000</f>
        <v>3.0000000000000001E-6</v>
      </c>
      <c r="G45" s="168">
        <f t="shared" si="9"/>
        <v>0.11285100000000001</v>
      </c>
      <c r="H45" s="283">
        <f t="shared" si="6"/>
        <v>0</v>
      </c>
      <c r="I45" s="283"/>
      <c r="J45" s="283"/>
      <c r="K45" s="283"/>
      <c r="L45" s="283"/>
      <c r="M45" s="283"/>
      <c r="N45" s="47">
        <f t="shared" si="10"/>
        <v>0</v>
      </c>
      <c r="O45" s="48">
        <f>C45*D45/$A$32</f>
        <v>0</v>
      </c>
      <c r="P45" s="45">
        <f t="shared" si="11"/>
        <v>0</v>
      </c>
      <c r="Q45" s="46">
        <f>C45*E45/$A$32</f>
        <v>0</v>
      </c>
      <c r="R45" s="45">
        <f t="shared" si="12"/>
        <v>0</v>
      </c>
      <c r="S45" s="46">
        <f>C45*F45/$A$32</f>
        <v>0</v>
      </c>
      <c r="T45" s="46">
        <f>($G45-$D45)*B45</f>
        <v>0</v>
      </c>
      <c r="U45" s="8">
        <f>($G45-$D45)*C45/$A$32</f>
        <v>0</v>
      </c>
      <c r="W45" s="27" t="s">
        <v>408</v>
      </c>
    </row>
    <row r="46" spans="1:23" ht="27.6" hidden="1">
      <c r="A46" s="39" t="s">
        <v>53</v>
      </c>
      <c r="B46" s="243">
        <f t="shared" ref="B46:C46" si="17">B15</f>
        <v>0</v>
      </c>
      <c r="C46" s="243">
        <f t="shared" si="17"/>
        <v>0</v>
      </c>
      <c r="D46" s="75">
        <v>9.5500000000000002E-2</v>
      </c>
      <c r="E46" s="75">
        <f>(2/1000)/1000</f>
        <v>1.9999999999999999E-6</v>
      </c>
      <c r="F46" s="75">
        <f>(3/1000)/1000</f>
        <v>3.0000000000000001E-6</v>
      </c>
      <c r="G46" s="168">
        <f t="shared" si="9"/>
        <v>9.6351000000000006E-2</v>
      </c>
      <c r="H46" s="283">
        <f t="shared" si="6"/>
        <v>0</v>
      </c>
      <c r="I46" s="283"/>
      <c r="J46" s="283"/>
      <c r="K46" s="283"/>
      <c r="L46" s="283"/>
      <c r="M46" s="283"/>
      <c r="N46" s="47">
        <f t="shared" si="10"/>
        <v>0</v>
      </c>
      <c r="O46" s="48">
        <f>C46*D46/$A$32</f>
        <v>0</v>
      </c>
      <c r="P46" s="45">
        <f t="shared" si="11"/>
        <v>0</v>
      </c>
      <c r="Q46" s="46">
        <f>C46*E46/$A$32</f>
        <v>0</v>
      </c>
      <c r="R46" s="45">
        <f t="shared" si="12"/>
        <v>0</v>
      </c>
      <c r="S46" s="46">
        <f>C46*F46/$A$32</f>
        <v>0</v>
      </c>
      <c r="T46" s="46">
        <f>($G46-$D46)*B46</f>
        <v>0</v>
      </c>
      <c r="U46" s="8">
        <f>($G46-$D46)*C46/$A$32</f>
        <v>0</v>
      </c>
      <c r="W46" s="27" t="s">
        <v>408</v>
      </c>
    </row>
    <row r="47" spans="1:23" ht="16.2" hidden="1" thickBot="1">
      <c r="A47" s="35" t="s">
        <v>23</v>
      </c>
      <c r="B47" s="243">
        <f>B16</f>
        <v>0</v>
      </c>
      <c r="C47" s="243">
        <f>C16</f>
        <v>0</v>
      </c>
      <c r="D47" s="75">
        <v>5.4600000000000003E-2</v>
      </c>
      <c r="E47" s="75">
        <f>(2/1000)/1000</f>
        <v>1.9999999999999999E-6</v>
      </c>
      <c r="F47" s="75">
        <f>(3/1000)/1000</f>
        <v>3.0000000000000001E-6</v>
      </c>
      <c r="G47" s="168">
        <f t="shared" si="9"/>
        <v>5.5451E-2</v>
      </c>
      <c r="H47" s="284">
        <f t="shared" si="6"/>
        <v>0</v>
      </c>
      <c r="I47" s="284"/>
      <c r="J47" s="284"/>
      <c r="K47" s="284"/>
      <c r="L47" s="284"/>
      <c r="M47" s="284"/>
      <c r="N47" s="49">
        <f t="shared" si="10"/>
        <v>0</v>
      </c>
      <c r="O47" s="48">
        <f>C47*D47/$A$32</f>
        <v>0</v>
      </c>
      <c r="P47" s="45">
        <f t="shared" si="11"/>
        <v>0</v>
      </c>
      <c r="Q47" s="46">
        <f>C47*E47/$A$32</f>
        <v>0</v>
      </c>
      <c r="R47" s="45">
        <f t="shared" si="12"/>
        <v>0</v>
      </c>
      <c r="S47" s="46">
        <f>C47*F47/$A$32</f>
        <v>0</v>
      </c>
      <c r="T47" s="46">
        <f>($G47-$D47)*B47</f>
        <v>0</v>
      </c>
      <c r="U47" s="46">
        <f>($G47-$D47)*C47/$A$32</f>
        <v>0</v>
      </c>
      <c r="W47" s="27" t="s">
        <v>408</v>
      </c>
    </row>
    <row r="48" spans="1:23">
      <c r="H48" s="284"/>
    </row>
    <row r="49" spans="1:1">
      <c r="A49" s="35" t="s">
        <v>456</v>
      </c>
    </row>
    <row r="50" spans="1:1">
      <c r="A50" s="35" t="s">
        <v>14</v>
      </c>
    </row>
    <row r="51" spans="1:1">
      <c r="A51" s="35" t="s">
        <v>15</v>
      </c>
    </row>
    <row r="52" spans="1:1">
      <c r="A52" s="35" t="s">
        <v>457</v>
      </c>
    </row>
    <row r="53" spans="1:1">
      <c r="A53" s="35" t="s">
        <v>17</v>
      </c>
    </row>
    <row r="54" spans="1:1">
      <c r="A54" s="35" t="s">
        <v>18</v>
      </c>
    </row>
    <row r="55" spans="1:1" ht="26.4">
      <c r="A55" s="39" t="s">
        <v>458</v>
      </c>
    </row>
    <row r="56" spans="1:1" ht="26.4">
      <c r="A56" s="39" t="s">
        <v>53</v>
      </c>
    </row>
    <row r="57" spans="1:1">
      <c r="A57" s="35" t="s">
        <v>23</v>
      </c>
    </row>
    <row r="76" spans="1:17" ht="17.25" customHeight="1">
      <c r="A76" s="156" t="s">
        <v>360</v>
      </c>
    </row>
    <row r="77" spans="1:17">
      <c r="A77" t="s">
        <v>361</v>
      </c>
    </row>
    <row r="78" spans="1:17">
      <c r="A78" t="s">
        <v>362</v>
      </c>
    </row>
    <row r="80" spans="1:17">
      <c r="A80" t="s">
        <v>6</v>
      </c>
      <c r="Q80" s="83"/>
    </row>
    <row r="81" spans="1:20" ht="14.4">
      <c r="A81" s="117" t="s">
        <v>130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25"/>
      <c r="O81" s="25"/>
      <c r="P81" s="25"/>
      <c r="Q81" s="125"/>
    </row>
    <row r="82" spans="1:20" ht="15.6">
      <c r="A82" s="193" t="s">
        <v>121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1:20" ht="14.4">
      <c r="A83" s="117" t="s">
        <v>131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82"/>
      <c r="R83" s="86"/>
      <c r="S83" s="86"/>
      <c r="T83" s="86"/>
    </row>
    <row r="84" spans="1:20" ht="14.4">
      <c r="A84" s="117" t="s">
        <v>613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6" spans="1:20" hidden="1">
      <c r="A86" s="86" t="s">
        <v>126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1:20" ht="15.6" hidden="1">
      <c r="A87" s="89" t="s">
        <v>127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1:20" ht="15.6" hidden="1">
      <c r="A88" s="89" t="s">
        <v>128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1:20" ht="16.8" hidden="1">
      <c r="A89" s="89" t="s">
        <v>129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</sheetData>
  <sheetProtection algorithmName="SHA-512" hashValue="wvBbv/sSmBjLipizFvBC/IOOpz3S7M7zSXN1Ih0UJZ3XTRLW2yVHwHNuOqqZlQoDG+WNnT6GU2GOzDBEvfPt5Q==" saltValue="KTyiDCQqfwFmWKjzcVNmXA==" spinCount="100000" sheet="1" objects="1" scenarios="1"/>
  <mergeCells count="2">
    <mergeCell ref="A2:H3"/>
    <mergeCell ref="A4:E4"/>
  </mergeCells>
  <phoneticPr fontId="0" type="noConversion"/>
  <dataValidations count="2">
    <dataValidation type="list" showInputMessage="1" showErrorMessage="1" sqref="C6" xr:uid="{9C2D7AD2-6680-48EF-87EA-578CC53AD27C}">
      <formula1>$Y$8:$Y$10</formula1>
    </dataValidation>
    <dataValidation type="decimal" allowBlank="1" showInputMessage="1" showErrorMessage="1" sqref="D6" xr:uid="{13B2D8C0-F81B-4AF2-BD01-6F4E716FC1E3}">
      <formula1>0</formula1>
      <formula2>1</formula2>
    </dataValidation>
  </dataValidations>
  <hyperlinks>
    <hyperlink ref="A84" r:id="rId1" display="https://www.motiva.fi/ratkaisut/energiankaytto_suomessa/co2-laskentaohje_energiankulutuksen_hiilidioksidipaastojen_laskentaan/co2-paastokertoimet" xr:uid="{00000000-0004-0000-0300-000000000000}"/>
  </hyperlinks>
  <pageMargins left="0.75" right="0.75" top="1" bottom="1" header="0.4921259845" footer="0.4921259845"/>
  <pageSetup paperSize="9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06045-CA50-464C-B733-28B3AF980074}">
  <sheetPr codeName="Sheet5"/>
  <dimension ref="A1:BC78"/>
  <sheetViews>
    <sheetView tabSelected="1" zoomScale="79" zoomScaleNormal="79" workbookViewId="0">
      <selection activeCell="E8" sqref="E8"/>
    </sheetView>
  </sheetViews>
  <sheetFormatPr defaultColWidth="0" defaultRowHeight="13.2"/>
  <cols>
    <col min="1" max="1" width="49.44140625" customWidth="1"/>
    <col min="2" max="3" width="20.44140625" customWidth="1"/>
    <col min="4" max="4" width="19.88671875" customWidth="1"/>
    <col min="5" max="5" width="22" bestFit="1" customWidth="1"/>
    <col min="6" max="6" width="28.44140625" customWidth="1"/>
    <col min="7" max="7" width="26.6640625" customWidth="1"/>
    <col min="8" max="8" width="24.5546875" customWidth="1"/>
    <col min="9" max="9" width="20" customWidth="1"/>
    <col min="10" max="10" width="23.33203125" customWidth="1"/>
    <col min="11" max="11" width="26.109375" customWidth="1"/>
    <col min="12" max="15" width="25.5546875" style="25" customWidth="1"/>
    <col min="16" max="17" width="25.5546875" style="25" hidden="1"/>
    <col min="18" max="18" width="19.44140625" hidden="1"/>
    <col min="19" max="19" width="19.88671875" hidden="1"/>
    <col min="20" max="20" width="24.109375" hidden="1"/>
    <col min="21" max="21" width="17.88671875" hidden="1"/>
    <col min="22" max="22" width="22.88671875" hidden="1"/>
    <col min="23" max="23" width="24.109375" hidden="1"/>
    <col min="24" max="24" width="27.109375" hidden="1"/>
    <col min="25" max="25" width="13.88671875" hidden="1"/>
    <col min="26" max="26" width="14.88671875" hidden="1"/>
    <col min="27" max="27" width="26.6640625" hidden="1"/>
    <col min="28" max="28" width="27" hidden="1"/>
    <col min="29" max="29" width="28.5546875" hidden="1"/>
    <col min="30" max="30" width="24.6640625" hidden="1"/>
    <col min="31" max="31" width="22.44140625" hidden="1"/>
    <col min="32" max="32" width="20.44140625" hidden="1"/>
    <col min="33" max="33" width="23.109375" hidden="1"/>
    <col min="34" max="34" width="25.33203125" hidden="1"/>
    <col min="35" max="35" width="33.109375" hidden="1"/>
    <col min="36" max="36" width="17.5546875" hidden="1"/>
    <col min="37" max="37" width="43.88671875" hidden="1"/>
    <col min="38" max="44" width="9.109375" hidden="1"/>
    <col min="45" max="45" width="22.109375" hidden="1"/>
    <col min="46" max="46" width="9.109375" hidden="1"/>
    <col min="47" max="47" width="12.109375" hidden="1"/>
    <col min="48" max="50" width="9.109375" hidden="1"/>
    <col min="51" max="51" width="1" hidden="1"/>
    <col min="56" max="16384" width="8.88671875" hidden="1"/>
  </cols>
  <sheetData>
    <row r="1" spans="1:40"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/>
      <c r="O1"/>
      <c r="P1"/>
      <c r="R1" s="25"/>
    </row>
    <row r="2" spans="1:40">
      <c r="A2" s="533" t="s">
        <v>600</v>
      </c>
      <c r="B2" s="533"/>
      <c r="C2" s="533"/>
      <c r="D2" s="533"/>
      <c r="E2" s="533"/>
      <c r="F2" s="271"/>
      <c r="G2" s="271"/>
      <c r="H2" s="271"/>
      <c r="I2" s="271"/>
      <c r="J2" s="271"/>
      <c r="K2" s="271"/>
      <c r="L2" s="271"/>
      <c r="M2" s="271"/>
      <c r="N2"/>
      <c r="O2"/>
      <c r="P2"/>
      <c r="R2" s="25"/>
    </row>
    <row r="3" spans="1:40" s="25" customFormat="1" ht="27" customHeight="1">
      <c r="A3" s="536" t="s">
        <v>640</v>
      </c>
      <c r="B3" s="536"/>
      <c r="C3" s="536"/>
      <c r="D3" s="536"/>
      <c r="E3" s="131"/>
      <c r="F3" s="294"/>
      <c r="G3" s="294"/>
      <c r="H3" s="294"/>
      <c r="I3" s="294"/>
      <c r="J3" s="454"/>
      <c r="K3" s="294"/>
      <c r="L3" s="294"/>
      <c r="M3" s="294"/>
    </row>
    <row r="4" spans="1:40" s="229" customFormat="1">
      <c r="A4" s="537" t="s">
        <v>421</v>
      </c>
      <c r="B4" s="537"/>
      <c r="C4" s="537"/>
      <c r="D4" s="537"/>
      <c r="E4" s="131"/>
      <c r="F4" s="294"/>
      <c r="G4" s="294"/>
      <c r="H4" s="294"/>
      <c r="I4" s="294"/>
      <c r="J4" s="453"/>
      <c r="K4" s="453"/>
      <c r="L4" s="420"/>
      <c r="M4" s="420"/>
    </row>
    <row r="5" spans="1:40" ht="27" customHeight="1">
      <c r="A5" s="538" t="s">
        <v>543</v>
      </c>
      <c r="B5" s="538"/>
      <c r="C5" s="538"/>
      <c r="D5" s="538"/>
      <c r="E5" s="538"/>
      <c r="F5" s="294"/>
      <c r="G5" s="294"/>
      <c r="H5" s="294"/>
      <c r="I5" s="539" t="s">
        <v>642</v>
      </c>
      <c r="J5" s="539"/>
      <c r="K5" s="539"/>
      <c r="L5" s="294"/>
      <c r="M5" s="294"/>
      <c r="R5" s="25"/>
    </row>
    <row r="6" spans="1:40" ht="12.6" hidden="1" customHeight="1">
      <c r="A6" s="538"/>
      <c r="B6" s="538"/>
      <c r="C6" s="538"/>
      <c r="D6" s="538"/>
      <c r="E6" s="538"/>
      <c r="F6" s="271"/>
      <c r="G6" s="271"/>
      <c r="H6" s="271"/>
      <c r="I6" s="534" t="s">
        <v>616</v>
      </c>
      <c r="J6" s="534"/>
      <c r="K6" s="534"/>
      <c r="L6" s="294"/>
      <c r="M6" s="294"/>
      <c r="R6" s="25"/>
    </row>
    <row r="7" spans="1:40" ht="13.5" customHeight="1">
      <c r="A7" s="271"/>
      <c r="B7" s="480"/>
      <c r="C7" s="271"/>
      <c r="D7" s="271"/>
      <c r="E7" s="271"/>
      <c r="F7" s="271"/>
      <c r="G7" s="271"/>
      <c r="H7" s="271"/>
      <c r="I7" s="534"/>
      <c r="J7" s="534"/>
      <c r="K7" s="534"/>
      <c r="L7" s="294"/>
      <c r="M7" s="294"/>
      <c r="R7" s="25"/>
    </row>
    <row r="8" spans="1:40" ht="12.75" customHeight="1">
      <c r="A8" s="4" t="s">
        <v>542</v>
      </c>
      <c r="B8" s="271"/>
      <c r="C8" s="271"/>
      <c r="D8" s="271"/>
      <c r="E8" s="271"/>
      <c r="F8" s="271"/>
      <c r="G8" s="271"/>
      <c r="H8" s="271"/>
      <c r="I8" s="534"/>
      <c r="J8" s="534"/>
      <c r="K8" s="534"/>
      <c r="L8" s="294"/>
      <c r="M8" s="294"/>
      <c r="R8" s="25"/>
    </row>
    <row r="9" spans="1:40" ht="51.75" customHeight="1">
      <c r="A9" s="382" t="s">
        <v>541</v>
      </c>
      <c r="B9" s="383">
        <v>0</v>
      </c>
      <c r="C9" s="382" t="s">
        <v>577</v>
      </c>
      <c r="D9" s="271"/>
      <c r="E9" s="271"/>
      <c r="F9" s="271"/>
      <c r="G9" s="271"/>
      <c r="H9" s="271"/>
      <c r="I9" s="534" t="s">
        <v>643</v>
      </c>
      <c r="J9" s="534"/>
      <c r="K9" s="534"/>
      <c r="L9" s="294"/>
      <c r="M9" s="294"/>
      <c r="Q9" s="294"/>
      <c r="R9" s="25"/>
    </row>
    <row r="10" spans="1:40" ht="43.2">
      <c r="A10" s="28" t="s">
        <v>272</v>
      </c>
      <c r="B10" s="28" t="s">
        <v>234</v>
      </c>
      <c r="C10" s="126" t="s">
        <v>232</v>
      </c>
      <c r="D10" s="28" t="s">
        <v>427</v>
      </c>
      <c r="E10" s="285" t="s">
        <v>658</v>
      </c>
      <c r="F10" s="277" t="s">
        <v>329</v>
      </c>
      <c r="G10" s="214" t="s">
        <v>656</v>
      </c>
      <c r="H10" s="349"/>
      <c r="I10" s="448" t="s">
        <v>525</v>
      </c>
      <c r="J10" s="449" t="s">
        <v>537</v>
      </c>
      <c r="K10" s="417" t="s">
        <v>653</v>
      </c>
      <c r="L10" s="417" t="s">
        <v>654</v>
      </c>
      <c r="M10" s="277"/>
      <c r="N10" s="277" t="s">
        <v>574</v>
      </c>
      <c r="O10" s="277" t="s">
        <v>575</v>
      </c>
      <c r="Q10" s="311"/>
      <c r="R10" s="345"/>
      <c r="S10" s="311"/>
      <c r="T10" s="314"/>
      <c r="U10" s="315"/>
      <c r="X10" s="80" t="s">
        <v>320</v>
      </c>
      <c r="Y10" s="22" t="s">
        <v>384</v>
      </c>
      <c r="AC10" t="s">
        <v>206</v>
      </c>
      <c r="AE10" s="107" t="s">
        <v>197</v>
      </c>
      <c r="AF10" s="80" t="s">
        <v>302</v>
      </c>
      <c r="AG10" t="s">
        <v>198</v>
      </c>
      <c r="AH10" t="s">
        <v>199</v>
      </c>
      <c r="AI10" t="s">
        <v>200</v>
      </c>
      <c r="AJ10" t="s">
        <v>201</v>
      </c>
      <c r="AK10" t="s">
        <v>202</v>
      </c>
      <c r="AL10" t="s">
        <v>203</v>
      </c>
      <c r="AM10" t="s">
        <v>204</v>
      </c>
      <c r="AN10" t="s">
        <v>205</v>
      </c>
    </row>
    <row r="11" spans="1:40" ht="14.4">
      <c r="A11" s="481" t="s">
        <v>174</v>
      </c>
      <c r="B11" s="421">
        <v>0</v>
      </c>
      <c r="C11" s="421">
        <v>1.2</v>
      </c>
      <c r="D11" s="135">
        <f t="shared" ref="D11:D16" si="0">AB45</f>
        <v>186.4</v>
      </c>
      <c r="E11" s="422">
        <f>D11*B11/1000</f>
        <v>0</v>
      </c>
      <c r="F11" s="423">
        <f t="shared" ref="F11:F16" si="1">X11/(Y11*1000)</f>
        <v>0</v>
      </c>
      <c r="G11" s="424">
        <f t="shared" ref="G11:G16" si="2">F11*$X$59</f>
        <v>0</v>
      </c>
      <c r="H11" s="492" t="s">
        <v>555</v>
      </c>
      <c r="I11" s="377" t="s">
        <v>462</v>
      </c>
      <c r="J11" s="425">
        <v>0</v>
      </c>
      <c r="K11" s="414">
        <f>N11+((1-J11)*(E11))</f>
        <v>0</v>
      </c>
      <c r="L11" s="426">
        <f>O11+((1-J11)*(G11))</f>
        <v>0</v>
      </c>
      <c r="M11" s="426"/>
      <c r="N11" s="208">
        <f>INDEX($AC$19:$AL$23,MATCH(I11,$AC$19:$AC$23,0),4)*(E11)*J11</f>
        <v>0</v>
      </c>
      <c r="O11" s="72">
        <f>INDEX($AC$19:$AL$23,MATCH(I11,$AC$19:$AC$23,0),7)*(G11)*J11</f>
        <v>0</v>
      </c>
      <c r="Q11" s="312"/>
      <c r="R11" s="346"/>
      <c r="S11" s="319"/>
      <c r="T11" s="316"/>
      <c r="U11" s="316"/>
      <c r="X11" s="102">
        <f t="shared" ref="X11:X16" si="3">D11*B11</f>
        <v>0</v>
      </c>
      <c r="Y11">
        <f>AE11</f>
        <v>2.3723476518070226</v>
      </c>
      <c r="AA11" t="s">
        <v>212</v>
      </c>
      <c r="AB11" t="s">
        <v>208</v>
      </c>
      <c r="AE11">
        <f>AF11*0.83</f>
        <v>2.3723476518070226</v>
      </c>
      <c r="AF11" s="97">
        <v>2.8582501829000275</v>
      </c>
      <c r="AG11">
        <v>9.8297975144290609E-4</v>
      </c>
      <c r="AH11">
        <v>2.9607047177143296E-4</v>
      </c>
      <c r="AI11">
        <v>1.1872406565192228E-2</v>
      </c>
      <c r="AJ11">
        <v>9.0372439086401299E-4</v>
      </c>
      <c r="AK11">
        <v>1.6794227142867865E-5</v>
      </c>
      <c r="AL11">
        <v>7.5455196597891695E-5</v>
      </c>
      <c r="AM11">
        <v>1.1467453874070935E-5</v>
      </c>
      <c r="AN11">
        <v>3.4207694148919172</v>
      </c>
    </row>
    <row r="12" spans="1:40" ht="14.4">
      <c r="A12" s="481" t="s">
        <v>213</v>
      </c>
      <c r="B12" s="421">
        <v>0</v>
      </c>
      <c r="C12" s="421">
        <v>3.5</v>
      </c>
      <c r="D12" s="135">
        <f>AB46</f>
        <v>297.8</v>
      </c>
      <c r="E12" s="422">
        <f t="shared" ref="E12:E16" si="4">D12*B12/1000</f>
        <v>0</v>
      </c>
      <c r="F12" s="423">
        <f t="shared" si="1"/>
        <v>0</v>
      </c>
      <c r="G12" s="424">
        <f t="shared" si="2"/>
        <v>0</v>
      </c>
      <c r="H12" s="492" t="s">
        <v>555</v>
      </c>
      <c r="I12" s="377" t="s">
        <v>463</v>
      </c>
      <c r="J12" s="425">
        <v>0</v>
      </c>
      <c r="K12" s="414">
        <f>N12+((1-J12)*(E12))</f>
        <v>0</v>
      </c>
      <c r="L12" s="426">
        <f>O12+((1-J12)*(G12))</f>
        <v>0</v>
      </c>
      <c r="M12" s="426"/>
      <c r="N12" s="208">
        <f>INDEX($AC$19:$AL$23,MATCH(I12,$AC$19:$AC$23,0),4)*(E12)*J12</f>
        <v>0</v>
      </c>
      <c r="O12" s="72">
        <f>INDEX($AC$19:$AL$23,MATCH(I12,$AC$19:$AC$23,0),7)*(G12)*J12</f>
        <v>0</v>
      </c>
      <c r="Q12" s="312"/>
      <c r="R12" s="346"/>
      <c r="S12" s="319"/>
      <c r="T12" s="316"/>
      <c r="U12" s="316"/>
      <c r="X12" s="102">
        <f t="shared" si="3"/>
        <v>0</v>
      </c>
      <c r="Y12">
        <f>AE12</f>
        <v>2.4184676034598085</v>
      </c>
      <c r="AA12" t="s">
        <v>211</v>
      </c>
      <c r="AB12" t="s">
        <v>208</v>
      </c>
      <c r="AE12">
        <f>AF12*0.83</f>
        <v>2.4184676034598085</v>
      </c>
      <c r="AF12" s="97">
        <v>2.9138163897106129</v>
      </c>
      <c r="AG12">
        <v>2.3591933113265126E-3</v>
      </c>
      <c r="AH12">
        <v>7.4865899710367851E-4</v>
      </c>
      <c r="AI12">
        <v>1.20291943838445E-2</v>
      </c>
      <c r="AJ12">
        <v>3.8039181550245164E-4</v>
      </c>
      <c r="AK12">
        <v>9.0786722844729868E-5</v>
      </c>
      <c r="AL12">
        <v>2.9390293058661283E-4</v>
      </c>
      <c r="AM12">
        <v>1.1467453874070938E-5</v>
      </c>
      <c r="AN12">
        <v>3.4207694148919177</v>
      </c>
    </row>
    <row r="13" spans="1:40" ht="14.4">
      <c r="A13" s="481" t="s">
        <v>175</v>
      </c>
      <c r="B13" s="421">
        <v>0</v>
      </c>
      <c r="C13" s="421">
        <v>9</v>
      </c>
      <c r="D13" s="135">
        <f t="shared" si="0"/>
        <v>497</v>
      </c>
      <c r="E13" s="422">
        <f t="shared" si="4"/>
        <v>0</v>
      </c>
      <c r="F13" s="423">
        <f t="shared" si="1"/>
        <v>0</v>
      </c>
      <c r="G13" s="424">
        <f t="shared" si="2"/>
        <v>0</v>
      </c>
      <c r="H13" s="492" t="s">
        <v>555</v>
      </c>
      <c r="I13" s="377" t="s">
        <v>464</v>
      </c>
      <c r="J13" s="425">
        <v>0</v>
      </c>
      <c r="K13" s="414">
        <f>N13+((1-J13)*(E13))</f>
        <v>0</v>
      </c>
      <c r="L13" s="426">
        <f>O13+((1-J13)*(G13))</f>
        <v>0</v>
      </c>
      <c r="M13" s="426"/>
      <c r="N13" s="208">
        <f>INDEX($AC$19:$AL$23,MATCH(I13,$AC$19:$AC$23,0),4)*(E13)*J13</f>
        <v>0</v>
      </c>
      <c r="O13" s="72">
        <f>INDEX($AC$19:$AL$23,MATCH(I13,$AC$19:$AC$23,0),7)*(G13)*J13</f>
        <v>0</v>
      </c>
      <c r="Q13" s="312"/>
      <c r="R13" s="346"/>
      <c r="S13" s="319"/>
      <c r="T13" s="316"/>
      <c r="U13" s="316"/>
      <c r="X13" s="102">
        <f t="shared" si="3"/>
        <v>0</v>
      </c>
      <c r="Y13">
        <f>AE13</f>
        <v>2.3942218324981877</v>
      </c>
      <c r="AA13" t="s">
        <v>210</v>
      </c>
      <c r="AB13" t="s">
        <v>208</v>
      </c>
      <c r="AE13">
        <f>AF13*0.83</f>
        <v>2.3942218324981877</v>
      </c>
      <c r="AF13" s="97">
        <v>2.884604617467696</v>
      </c>
      <c r="AG13">
        <v>5.0028535896856257E-3</v>
      </c>
      <c r="AH13">
        <v>7.6012381265117977E-4</v>
      </c>
      <c r="AI13">
        <v>2.259216695743228E-2</v>
      </c>
      <c r="AJ13">
        <v>3.7395701049470765E-4</v>
      </c>
      <c r="AK13">
        <v>5.9068802431482945E-5</v>
      </c>
      <c r="AL13">
        <v>1.7846011747777157E-4</v>
      </c>
      <c r="AM13">
        <v>1.1467453874070938E-5</v>
      </c>
      <c r="AN13">
        <v>3.4207694148919177</v>
      </c>
    </row>
    <row r="14" spans="1:40" ht="14.4">
      <c r="A14" s="481" t="s">
        <v>176</v>
      </c>
      <c r="B14" s="421">
        <v>0</v>
      </c>
      <c r="C14" s="421">
        <v>20</v>
      </c>
      <c r="D14" s="135">
        <f t="shared" si="0"/>
        <v>895.6</v>
      </c>
      <c r="E14" s="422">
        <f t="shared" si="4"/>
        <v>0</v>
      </c>
      <c r="F14" s="423">
        <f t="shared" si="1"/>
        <v>0</v>
      </c>
      <c r="G14" s="424">
        <f t="shared" si="2"/>
        <v>0</v>
      </c>
      <c r="H14" s="492" t="s">
        <v>555</v>
      </c>
      <c r="I14" s="377" t="s">
        <v>17</v>
      </c>
      <c r="J14" s="425">
        <v>0</v>
      </c>
      <c r="K14" s="414">
        <f>N14+((1-J14)*(E14))</f>
        <v>0</v>
      </c>
      <c r="L14" s="426">
        <f>O14+((1-J14)*(G14))</f>
        <v>0</v>
      </c>
      <c r="M14" s="426"/>
      <c r="N14" s="208">
        <f>INDEX($AC$19:$AL$23,MATCH(I14,$AC$19:$AC$23,0),4)*(E14)*J14</f>
        <v>0</v>
      </c>
      <c r="O14" s="72">
        <f>INDEX($AC$19:$AL$23,MATCH(I14,$AC$19:$AC$23,0),7)*(G14)*J14</f>
        <v>0</v>
      </c>
      <c r="Q14" s="312"/>
      <c r="R14" s="346"/>
      <c r="S14" s="319"/>
      <c r="T14" s="316"/>
      <c r="U14" s="316"/>
      <c r="X14" s="102">
        <f t="shared" si="3"/>
        <v>0</v>
      </c>
      <c r="Y14">
        <f>AE14</f>
        <v>2.3763690476190473</v>
      </c>
      <c r="AA14" t="s">
        <v>207</v>
      </c>
      <c r="AB14" s="96" t="s">
        <v>208</v>
      </c>
      <c r="AC14" s="97"/>
      <c r="AD14" s="97"/>
      <c r="AE14">
        <f>AF14*0.83</f>
        <v>2.3763690476190473</v>
      </c>
      <c r="AF14" s="97">
        <v>2.8630952380952381</v>
      </c>
      <c r="AG14" s="97">
        <v>1.3984509466437179E-3</v>
      </c>
      <c r="AH14" s="97">
        <v>2.7610441767068276E-4</v>
      </c>
      <c r="AI14" s="97">
        <v>1.900458978772232E-2</v>
      </c>
      <c r="AJ14" s="97">
        <v>1.7211703958691914E-4</v>
      </c>
      <c r="AK14" s="97">
        <v>1.6135972461273668E-5</v>
      </c>
      <c r="AL14">
        <v>1.0398737808376363E-4</v>
      </c>
      <c r="AM14">
        <v>1.1474469305794608E-5</v>
      </c>
      <c r="AN14">
        <v>3.4172403901319566</v>
      </c>
    </row>
    <row r="15" spans="1:40" ht="14.4">
      <c r="A15" s="481" t="s">
        <v>177</v>
      </c>
      <c r="B15" s="421">
        <v>0</v>
      </c>
      <c r="C15" s="421">
        <v>40</v>
      </c>
      <c r="D15" s="135">
        <f t="shared" si="0"/>
        <v>1205</v>
      </c>
      <c r="E15" s="422">
        <f t="shared" si="4"/>
        <v>0</v>
      </c>
      <c r="F15" s="423">
        <f t="shared" si="1"/>
        <v>0</v>
      </c>
      <c r="G15" s="424">
        <f t="shared" si="2"/>
        <v>0</v>
      </c>
      <c r="H15" s="492" t="s">
        <v>555</v>
      </c>
      <c r="I15" s="377" t="s">
        <v>465</v>
      </c>
      <c r="J15" s="425">
        <v>0</v>
      </c>
      <c r="K15" s="414">
        <f>N15+((1-J15)*(E15))</f>
        <v>0</v>
      </c>
      <c r="L15" s="426">
        <f>O15+((1-J15)*(G15))</f>
        <v>0</v>
      </c>
      <c r="M15" s="426"/>
      <c r="N15" s="208">
        <f>INDEX($AC$19:$AL$23,MATCH(I15,$AC$19:$AC$23,0),4)*(E15)*J15</f>
        <v>0</v>
      </c>
      <c r="O15" s="72">
        <f>INDEX($AC$19:$AL$23,MATCH(I15,$AC$19:$AC$23,0),7)*(G15)*J15</f>
        <v>0</v>
      </c>
      <c r="Q15" s="312"/>
      <c r="R15" s="346"/>
      <c r="S15" s="319"/>
      <c r="T15" s="316"/>
      <c r="U15" s="316"/>
      <c r="X15" s="102">
        <f t="shared" si="3"/>
        <v>0</v>
      </c>
      <c r="Y15">
        <f>AE15</f>
        <v>2.3756532066508314</v>
      </c>
      <c r="AA15" t="s">
        <v>209</v>
      </c>
      <c r="AB15" t="s">
        <v>208</v>
      </c>
      <c r="AE15">
        <f>AF15*0.83</f>
        <v>2.3756532066508314</v>
      </c>
      <c r="AF15" s="97">
        <v>2.8622327790973872</v>
      </c>
      <c r="AG15">
        <v>1.488137824456973E-3</v>
      </c>
      <c r="AH15">
        <v>2.8618035085711016E-4</v>
      </c>
      <c r="AI15">
        <v>1.8601722805712161E-2</v>
      </c>
      <c r="AJ15">
        <v>1.7743181753140832E-4</v>
      </c>
      <c r="AK15">
        <v>1.6026099647998168E-5</v>
      </c>
      <c r="AL15">
        <v>8.2992301748561963E-5</v>
      </c>
      <c r="AM15">
        <v>1.1447214034284407E-5</v>
      </c>
      <c r="AN15">
        <v>3.4255787997596086</v>
      </c>
    </row>
    <row r="16" spans="1:40">
      <c r="A16" s="482" t="s">
        <v>122</v>
      </c>
      <c r="B16" s="421">
        <v>0</v>
      </c>
      <c r="C16" s="421">
        <v>51</v>
      </c>
      <c r="D16" s="298">
        <f t="shared" si="0"/>
        <v>1432</v>
      </c>
      <c r="E16" s="427">
        <f t="shared" si="4"/>
        <v>0</v>
      </c>
      <c r="F16" s="428">
        <f t="shared" si="1"/>
        <v>0</v>
      </c>
      <c r="G16" s="424">
        <f t="shared" si="2"/>
        <v>0</v>
      </c>
      <c r="H16" s="492" t="s">
        <v>555</v>
      </c>
      <c r="I16" s="377" t="s">
        <v>462</v>
      </c>
      <c r="J16" s="425">
        <v>0</v>
      </c>
      <c r="K16" s="414">
        <f>N16+((1-J16)*(E16))</f>
        <v>0</v>
      </c>
      <c r="L16" s="426">
        <f>O16+((1-J16)*(G16))</f>
        <v>0</v>
      </c>
      <c r="M16" s="426"/>
      <c r="N16" s="208">
        <f>INDEX($AC$19:$AL$23,MATCH(I16,$AC$19:$AC$23,0),4)*(E16)*J16</f>
        <v>0</v>
      </c>
      <c r="O16" s="72">
        <f>INDEX($AC$19:$AL$23,MATCH(I16,$AC$19:$AC$23,0),7)*(G16)*J16</f>
        <v>0</v>
      </c>
      <c r="Q16" s="312"/>
      <c r="R16" s="346"/>
      <c r="S16" s="319"/>
      <c r="T16" s="316"/>
      <c r="U16" s="316"/>
      <c r="X16" s="102">
        <f t="shared" si="3"/>
        <v>0</v>
      </c>
      <c r="Y16">
        <f>AE15</f>
        <v>2.3756532066508314</v>
      </c>
      <c r="AA16" t="s">
        <v>209</v>
      </c>
      <c r="AB16" t="s">
        <v>385</v>
      </c>
      <c r="AE16">
        <f>AE15</f>
        <v>2.3756532066508314</v>
      </c>
    </row>
    <row r="17" spans="1:49" ht="16.2">
      <c r="A17" s="483"/>
      <c r="B17" s="409"/>
      <c r="C17" s="409"/>
      <c r="D17" s="213" t="s">
        <v>540</v>
      </c>
      <c r="E17" s="213">
        <f>SUM(E11:E16)</f>
        <v>0</v>
      </c>
      <c r="F17" s="213"/>
      <c r="G17" s="395">
        <f t="shared" ref="G17" si="5">SUM(G11:G16)</f>
        <v>0</v>
      </c>
      <c r="H17" s="323"/>
      <c r="I17" s="429"/>
      <c r="J17" s="429" t="s">
        <v>580</v>
      </c>
      <c r="K17" s="430">
        <f>SUM(K11:K16)</f>
        <v>0</v>
      </c>
      <c r="L17" s="430">
        <f>SUM(L11:L16)</f>
        <v>0</v>
      </c>
      <c r="M17" s="430" t="s">
        <v>655</v>
      </c>
      <c r="N17" s="447"/>
      <c r="O17" s="208"/>
      <c r="P17" s="72"/>
      <c r="Q17" s="303"/>
      <c r="R17" s="288"/>
      <c r="S17" s="288"/>
      <c r="T17" s="317"/>
      <c r="U17" s="318"/>
      <c r="X17" s="102"/>
    </row>
    <row r="18" spans="1:49" ht="57.6">
      <c r="A18" s="293" t="s">
        <v>453</v>
      </c>
      <c r="B18" s="513" t="s">
        <v>218</v>
      </c>
      <c r="C18" s="514" t="s">
        <v>581</v>
      </c>
      <c r="D18" s="513" t="s">
        <v>525</v>
      </c>
      <c r="E18" s="510" t="s">
        <v>582</v>
      </c>
      <c r="F18" s="511" t="s">
        <v>659</v>
      </c>
      <c r="G18" s="512" t="s">
        <v>657</v>
      </c>
      <c r="H18" s="419" t="s">
        <v>652</v>
      </c>
      <c r="I18" s="419" t="s">
        <v>651</v>
      </c>
      <c r="J18" s="271"/>
      <c r="K18" s="271"/>
      <c r="L18" s="294"/>
      <c r="M18" s="419"/>
      <c r="N18" s="419"/>
      <c r="O18" s="419"/>
      <c r="P18" s="419"/>
      <c r="Q18" s="311"/>
      <c r="R18" s="345"/>
      <c r="S18" s="311"/>
      <c r="T18" s="314"/>
      <c r="U18" s="315"/>
      <c r="V18" s="326"/>
      <c r="W18" s="327"/>
      <c r="X18" s="328"/>
      <c r="Y18" s="327"/>
      <c r="Z18" s="327"/>
      <c r="AA18" s="327"/>
      <c r="AB18" s="327"/>
      <c r="AC18" s="327"/>
      <c r="AD18" s="327" t="s">
        <v>466</v>
      </c>
      <c r="AE18" s="416" t="s">
        <v>569</v>
      </c>
      <c r="AF18" s="416" t="s">
        <v>570</v>
      </c>
      <c r="AG18" s="330" t="s">
        <v>489</v>
      </c>
      <c r="AH18" s="271" t="s">
        <v>568</v>
      </c>
      <c r="AI18" s="330" t="s">
        <v>572</v>
      </c>
      <c r="AJ18" s="327" t="s">
        <v>468</v>
      </c>
      <c r="AK18" s="327" t="s">
        <v>530</v>
      </c>
      <c r="AL18" s="327" t="s">
        <v>571</v>
      </c>
      <c r="AS18" t="s">
        <v>551</v>
      </c>
    </row>
    <row r="19" spans="1:49">
      <c r="A19" s="481" t="s">
        <v>174</v>
      </c>
      <c r="B19" s="421">
        <v>0</v>
      </c>
      <c r="C19" s="492" t="s">
        <v>555</v>
      </c>
      <c r="D19" s="377" t="s">
        <v>462</v>
      </c>
      <c r="E19" s="421">
        <v>0</v>
      </c>
      <c r="F19" s="431">
        <f t="shared" ref="F19:F24" si="6">B19*$AA$28</f>
        <v>0</v>
      </c>
      <c r="G19" s="432">
        <f t="shared" ref="G19:G24" si="7">B19*$X$59*0.83</f>
        <v>0</v>
      </c>
      <c r="H19" s="414">
        <f>INDEX($AC$19:$AL$23,MATCH(D19,$AC$19:$AC$23,0),2)*E19</f>
        <v>0</v>
      </c>
      <c r="I19" s="414">
        <f>INDEX($AC$19:$AL$23,MATCH(D19,$AC$19:$AC$23,0),5)*E19</f>
        <v>0</v>
      </c>
      <c r="J19" s="271"/>
      <c r="K19" s="271"/>
      <c r="L19" s="294"/>
      <c r="M19" s="426"/>
      <c r="N19" s="208"/>
      <c r="O19" s="208"/>
      <c r="P19" s="72"/>
      <c r="Q19" s="312"/>
      <c r="R19" s="346"/>
      <c r="S19" s="313"/>
      <c r="T19" s="316"/>
      <c r="U19" s="316"/>
      <c r="V19" s="327"/>
      <c r="W19" s="327"/>
      <c r="X19" s="328"/>
      <c r="Y19" s="327"/>
      <c r="Z19" s="327"/>
      <c r="AA19" s="327"/>
      <c r="AB19" s="329"/>
      <c r="AC19" s="327" t="s">
        <v>462</v>
      </c>
      <c r="AD19" s="327">
        <v>0</v>
      </c>
      <c r="AE19">
        <f>AD19*AJ19</f>
        <v>0</v>
      </c>
      <c r="AF19">
        <f>AE19/$AT$40</f>
        <v>0</v>
      </c>
      <c r="AG19" s="327">
        <f>AT49</f>
        <v>1.1339999999999999</v>
      </c>
      <c r="AH19">
        <f>AG19*AJ19</f>
        <v>1.1339999999999999</v>
      </c>
      <c r="AI19">
        <f>AH19/$AT$42</f>
        <v>1.9894736842105263</v>
      </c>
      <c r="AJ19" s="327">
        <v>1</v>
      </c>
      <c r="AK19" s="327">
        <f>AH19+AE19</f>
        <v>1.1339999999999999</v>
      </c>
      <c r="AL19" s="391">
        <f>AK19/(($AT$40+$AT$42))</f>
        <v>0.35</v>
      </c>
      <c r="AR19" s="336"/>
    </row>
    <row r="20" spans="1:49">
      <c r="A20" s="481" t="s">
        <v>213</v>
      </c>
      <c r="B20" s="421">
        <v>0</v>
      </c>
      <c r="C20" s="492" t="s">
        <v>555</v>
      </c>
      <c r="D20" s="377" t="s">
        <v>463</v>
      </c>
      <c r="E20" s="421">
        <v>0</v>
      </c>
      <c r="F20" s="431">
        <f t="shared" si="6"/>
        <v>0</v>
      </c>
      <c r="G20" s="432">
        <f t="shared" si="7"/>
        <v>0</v>
      </c>
      <c r="H20" s="414">
        <f t="shared" ref="H20:H24" si="8">INDEX($AC$19:$AL$23,MATCH(D20,$AC$19:$AC$23,0),2)*E20</f>
        <v>0</v>
      </c>
      <c r="I20" s="414">
        <f t="shared" ref="I20:I23" si="9">INDEX($AC$19:$AL$23,MATCH(D20,$AC$19:$AC$23,0),5)*E20</f>
        <v>0</v>
      </c>
      <c r="J20" s="271"/>
      <c r="K20" s="271"/>
      <c r="L20" s="294"/>
      <c r="M20" s="426"/>
      <c r="N20" s="208"/>
      <c r="O20" s="208"/>
      <c r="P20" s="72"/>
      <c r="Q20" s="312"/>
      <c r="R20" s="346"/>
      <c r="S20" s="313"/>
      <c r="T20" s="316"/>
      <c r="U20" s="316"/>
      <c r="V20" s="327"/>
      <c r="W20" s="329"/>
      <c r="X20" s="328"/>
      <c r="Y20" s="327"/>
      <c r="Z20" s="327"/>
      <c r="AA20" s="327"/>
      <c r="AB20" s="329"/>
      <c r="AC20" s="327" t="s">
        <v>463</v>
      </c>
      <c r="AD20" s="329">
        <f>AI42</f>
        <v>0.13595505617977527</v>
      </c>
      <c r="AE20">
        <f>AD20*AJ20</f>
        <v>0.2002618929213483</v>
      </c>
      <c r="AF20">
        <f>AE20/$AT$40</f>
        <v>7.5004454277658547E-2</v>
      </c>
      <c r="AG20" s="327">
        <f>AT60*0.15+0.85*AT55</f>
        <v>1.123</v>
      </c>
      <c r="AH20">
        <f>AG20*AJ20</f>
        <v>1.6541797861</v>
      </c>
      <c r="AI20">
        <f>AH20/$AT$42</f>
        <v>2.9020698001754388</v>
      </c>
      <c r="AJ20" s="327">
        <v>1.4730007000000001</v>
      </c>
      <c r="AK20" s="327">
        <f>AH20+AE20</f>
        <v>1.8544416790213483</v>
      </c>
      <c r="AL20" s="391">
        <f>AK20/(($AT$40+$AT$42))</f>
        <v>0.57235854290782362</v>
      </c>
      <c r="AS20" t="s">
        <v>526</v>
      </c>
      <c r="AT20" t="s">
        <v>527</v>
      </c>
      <c r="AU20" t="s">
        <v>496</v>
      </c>
      <c r="AV20" t="s">
        <v>0</v>
      </c>
    </row>
    <row r="21" spans="1:49">
      <c r="A21" s="481" t="s">
        <v>175</v>
      </c>
      <c r="B21" s="421">
        <v>0</v>
      </c>
      <c r="C21" s="492" t="s">
        <v>555</v>
      </c>
      <c r="D21" s="377" t="s">
        <v>464</v>
      </c>
      <c r="E21" s="421">
        <v>0</v>
      </c>
      <c r="F21" s="431">
        <f t="shared" si="6"/>
        <v>0</v>
      </c>
      <c r="G21" s="432">
        <f t="shared" si="7"/>
        <v>0</v>
      </c>
      <c r="H21" s="414">
        <f t="shared" si="8"/>
        <v>0</v>
      </c>
      <c r="I21" s="414">
        <f t="shared" si="9"/>
        <v>0</v>
      </c>
      <c r="J21" s="271"/>
      <c r="K21" s="271"/>
      <c r="L21" s="294"/>
      <c r="M21" s="426"/>
      <c r="N21" s="208"/>
      <c r="O21" s="208"/>
      <c r="P21" s="72"/>
      <c r="Q21" s="312"/>
      <c r="R21" s="346"/>
      <c r="S21" s="313"/>
      <c r="T21" s="316"/>
      <c r="U21" s="316"/>
      <c r="V21" s="327"/>
      <c r="W21" s="327"/>
      <c r="X21" s="328"/>
      <c r="Y21" s="327"/>
      <c r="Z21" s="327"/>
      <c r="AA21" s="327"/>
      <c r="AB21" s="327"/>
      <c r="AC21" s="327" t="s">
        <v>464</v>
      </c>
      <c r="AD21" s="329">
        <v>0</v>
      </c>
      <c r="AE21">
        <f>AD21*AJ21</f>
        <v>0</v>
      </c>
      <c r="AF21">
        <f>AE21/$AT$40</f>
        <v>0</v>
      </c>
      <c r="AG21" s="327">
        <v>0.28717900000000002</v>
      </c>
      <c r="AH21">
        <f>AG21*AJ21</f>
        <v>0.28888820325430004</v>
      </c>
      <c r="AI21">
        <f>AH21/$AT$42</f>
        <v>0.50682140921807028</v>
      </c>
      <c r="AJ21" s="327">
        <v>1.0059517</v>
      </c>
      <c r="AK21" s="327">
        <f>AH21+AE21</f>
        <v>0.28888820325430004</v>
      </c>
      <c r="AL21" s="391">
        <f t="shared" ref="AL21" si="10">AK21/(($AT$40+$AT$42))</f>
        <v>8.9163025695771628E-2</v>
      </c>
      <c r="AR21" s="336" t="s">
        <v>462</v>
      </c>
      <c r="AS21">
        <v>0</v>
      </c>
      <c r="AU21">
        <f>AT49</f>
        <v>1.1339999999999999</v>
      </c>
      <c r="AV21">
        <f>SUM(AS21:AU21)</f>
        <v>1.1339999999999999</v>
      </c>
      <c r="AW21">
        <f>AV21/($AT$40+$AT$42)</f>
        <v>0.35</v>
      </c>
    </row>
    <row r="22" spans="1:49">
      <c r="A22" s="481" t="s">
        <v>176</v>
      </c>
      <c r="B22" s="421">
        <v>0</v>
      </c>
      <c r="C22" s="492" t="s">
        <v>555</v>
      </c>
      <c r="D22" s="377" t="s">
        <v>17</v>
      </c>
      <c r="E22" s="421">
        <v>0</v>
      </c>
      <c r="F22" s="431">
        <f t="shared" si="6"/>
        <v>0</v>
      </c>
      <c r="G22" s="432">
        <f t="shared" si="7"/>
        <v>0</v>
      </c>
      <c r="H22" s="414">
        <f t="shared" si="8"/>
        <v>0</v>
      </c>
      <c r="I22" s="414">
        <f t="shared" si="9"/>
        <v>0</v>
      </c>
      <c r="J22" s="271"/>
      <c r="K22" s="271"/>
      <c r="L22" s="294"/>
      <c r="M22" s="426"/>
      <c r="N22" s="208"/>
      <c r="O22" s="208"/>
      <c r="P22" s="72"/>
      <c r="Q22" s="312"/>
      <c r="R22" s="346"/>
      <c r="S22" s="313"/>
      <c r="T22" s="316"/>
      <c r="U22" s="316"/>
      <c r="V22" s="327"/>
      <c r="W22" s="329"/>
      <c r="X22" s="328"/>
      <c r="Y22" s="327"/>
      <c r="Z22" s="327"/>
      <c r="AA22" s="327"/>
      <c r="AB22" s="327"/>
      <c r="AC22" s="327" t="s">
        <v>17</v>
      </c>
      <c r="AD22" s="329">
        <v>0.83489096573208732</v>
      </c>
      <c r="AE22">
        <f>AD22*AJ22</f>
        <v>0.79786697445482868</v>
      </c>
      <c r="AF22">
        <f>AE22/$AT$40</f>
        <v>0.29882658219281971</v>
      </c>
      <c r="AG22" s="327">
        <v>0.78717948717948716</v>
      </c>
      <c r="AH22">
        <f>AG22*AJ22</f>
        <v>0.75227130435897427</v>
      </c>
      <c r="AI22">
        <f>AH22/$AT$42</f>
        <v>1.3197742181736392</v>
      </c>
      <c r="AJ22" s="327">
        <v>0.95565409999999995</v>
      </c>
      <c r="AK22" s="327">
        <f>AH22+AE22</f>
        <v>1.550138278813803</v>
      </c>
      <c r="AL22" s="391">
        <f>AK22/(($AT$40+$AT$42))</f>
        <v>0.47843774037463055</v>
      </c>
      <c r="AR22" s="336" t="s">
        <v>463</v>
      </c>
      <c r="AS22">
        <f>0.15*AT59+0.85*AT54</f>
        <v>0.36299999999999999</v>
      </c>
      <c r="AU22">
        <f>0.15*AT60+0.85*AT55</f>
        <v>1.123</v>
      </c>
      <c r="AV22">
        <f>AU22+AS22</f>
        <v>1.486</v>
      </c>
      <c r="AW22">
        <f>AV22/($AT$40+$AT$42)</f>
        <v>0.45864197530864198</v>
      </c>
    </row>
    <row r="23" spans="1:49">
      <c r="A23" s="481" t="s">
        <v>177</v>
      </c>
      <c r="B23" s="421">
        <v>0</v>
      </c>
      <c r="C23" s="492" t="s">
        <v>555</v>
      </c>
      <c r="D23" s="377" t="s">
        <v>465</v>
      </c>
      <c r="E23" s="421">
        <v>0</v>
      </c>
      <c r="F23" s="431">
        <f t="shared" si="6"/>
        <v>0</v>
      </c>
      <c r="G23" s="432">
        <f t="shared" si="7"/>
        <v>0</v>
      </c>
      <c r="H23" s="414">
        <f t="shared" si="8"/>
        <v>0</v>
      </c>
      <c r="I23" s="414">
        <f t="shared" si="9"/>
        <v>0</v>
      </c>
      <c r="J23" s="271"/>
      <c r="K23" s="271"/>
      <c r="L23" s="294"/>
      <c r="M23" s="426"/>
      <c r="N23" s="208"/>
      <c r="O23" s="208"/>
      <c r="P23" s="72"/>
      <c r="Q23" s="312"/>
      <c r="R23" s="346"/>
      <c r="S23" s="313"/>
      <c r="T23" s="316"/>
      <c r="U23" s="316"/>
      <c r="V23" s="327"/>
      <c r="W23" s="329"/>
      <c r="X23" s="328"/>
      <c r="Y23" s="327"/>
      <c r="Z23" s="327"/>
      <c r="AA23" s="327"/>
      <c r="AB23" s="327"/>
      <c r="AC23" s="327" t="s">
        <v>465</v>
      </c>
      <c r="AD23" s="329">
        <v>0</v>
      </c>
      <c r="AE23">
        <v>0</v>
      </c>
      <c r="AF23">
        <f>AE23/$AT$40</f>
        <v>0</v>
      </c>
      <c r="AG23">
        <v>0.14099999999999999</v>
      </c>
      <c r="AH23" s="415">
        <f>AJ48*AG23</f>
        <v>0.66639020537124805</v>
      </c>
      <c r="AI23">
        <f>AH23/$AT$42</f>
        <v>1.1691056234583299</v>
      </c>
      <c r="AJ23" t="s">
        <v>573</v>
      </c>
      <c r="AK23" s="418">
        <f>AH23+AE23</f>
        <v>0.66639020537124805</v>
      </c>
      <c r="AL23" s="391">
        <f>AK23/(($AT$40+$AT$42))</f>
        <v>0.20567598931211362</v>
      </c>
      <c r="AR23" s="336" t="s">
        <v>464</v>
      </c>
      <c r="AT23">
        <f>AT64</f>
        <v>0</v>
      </c>
      <c r="AU23">
        <f>AT65</f>
        <v>1.1200000000000001</v>
      </c>
      <c r="AV23">
        <f>AU23+AT23</f>
        <v>1.1200000000000001</v>
      </c>
    </row>
    <row r="24" spans="1:49" ht="13.8" thickBot="1">
      <c r="A24" s="482" t="s">
        <v>122</v>
      </c>
      <c r="B24" s="450">
        <v>0</v>
      </c>
      <c r="C24" s="492" t="s">
        <v>555</v>
      </c>
      <c r="D24" s="451" t="s">
        <v>465</v>
      </c>
      <c r="E24" s="421">
        <v>0</v>
      </c>
      <c r="F24" s="431">
        <f t="shared" si="6"/>
        <v>0</v>
      </c>
      <c r="G24" s="432">
        <f t="shared" si="7"/>
        <v>0</v>
      </c>
      <c r="H24" s="414">
        <f t="shared" si="8"/>
        <v>0</v>
      </c>
      <c r="I24" s="414">
        <f>INDEX($AC$19:$AL$23,MATCH(D24,$AC$19:$AC$23,0),5)*E24</f>
        <v>0</v>
      </c>
      <c r="J24" s="271"/>
      <c r="K24" s="271"/>
      <c r="L24" s="294"/>
      <c r="M24" s="426"/>
      <c r="N24" s="208"/>
      <c r="O24" s="208"/>
      <c r="P24" s="72"/>
      <c r="Q24" s="312"/>
      <c r="R24" s="346"/>
      <c r="S24" s="319"/>
      <c r="T24" s="316"/>
      <c r="U24" s="316"/>
      <c r="V24" s="347"/>
      <c r="W24" s="327"/>
      <c r="X24" s="328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9"/>
      <c r="AK24" s="327"/>
      <c r="AL24" s="327"/>
      <c r="AR24" s="336" t="s">
        <v>17</v>
      </c>
      <c r="AT24">
        <f>AT69</f>
        <v>2.68</v>
      </c>
      <c r="AU24">
        <f>AT70</f>
        <v>0.38999999999999968</v>
      </c>
      <c r="AV24">
        <f>AU24+AT24</f>
        <v>3.07</v>
      </c>
    </row>
    <row r="25" spans="1:49" ht="21" customHeight="1" thickBot="1">
      <c r="A25" s="484"/>
      <c r="B25" s="452"/>
      <c r="C25" s="485"/>
      <c r="D25" s="452"/>
      <c r="E25" s="509" t="s">
        <v>583</v>
      </c>
      <c r="F25" s="289">
        <f>SUM(F19:F24)</f>
        <v>0</v>
      </c>
      <c r="G25" s="289">
        <f>SUM(G19:G24)</f>
        <v>0</v>
      </c>
      <c r="H25" s="430">
        <f>SUM(H19:H24)</f>
        <v>0</v>
      </c>
      <c r="I25" s="430">
        <f>SUM(I19:I24)</f>
        <v>0</v>
      </c>
      <c r="J25" s="430" t="s">
        <v>426</v>
      </c>
      <c r="K25" s="271"/>
      <c r="L25" s="294"/>
      <c r="M25" s="294"/>
      <c r="N25" s="445"/>
      <c r="P25" s="212"/>
      <c r="Q25" s="212"/>
      <c r="AR25" s="343" t="s">
        <v>465</v>
      </c>
      <c r="AV25">
        <f>AT74</f>
        <v>0.14099999999999999</v>
      </c>
    </row>
    <row r="26" spans="1:49" ht="15" customHeight="1">
      <c r="A26" s="130"/>
      <c r="B26" s="404"/>
      <c r="C26" s="405"/>
      <c r="D26" s="406"/>
      <c r="E26" s="407"/>
      <c r="F26" s="407"/>
      <c r="G26" s="290"/>
      <c r="H26" s="290"/>
      <c r="J26" s="288"/>
      <c r="K26" s="211"/>
      <c r="M26" s="446"/>
      <c r="N26" s="446"/>
      <c r="O26" s="212"/>
      <c r="P26" s="212"/>
      <c r="Q26" s="212"/>
      <c r="Z26" s="102"/>
    </row>
    <row r="27" spans="1:49" ht="15" customHeight="1">
      <c r="A27" s="130"/>
      <c r="B27" s="404"/>
      <c r="C27" s="404"/>
      <c r="D27" s="408"/>
      <c r="E27" s="407"/>
      <c r="F27" s="405"/>
      <c r="G27" s="290"/>
      <c r="H27" s="290"/>
      <c r="I27" s="287"/>
      <c r="J27" s="288"/>
      <c r="K27" s="211"/>
      <c r="L27" s="212"/>
      <c r="M27" s="212"/>
      <c r="N27" s="212"/>
      <c r="O27" s="212"/>
      <c r="P27" s="212"/>
      <c r="Q27" s="212"/>
      <c r="Z27" s="102"/>
      <c r="AU27">
        <v>0</v>
      </c>
    </row>
    <row r="28" spans="1:49" ht="15" customHeight="1" thickBot="1">
      <c r="A28" s="130"/>
      <c r="B28" s="404"/>
      <c r="C28" s="409"/>
      <c r="D28" s="410"/>
      <c r="E28" s="407"/>
      <c r="F28" s="411"/>
      <c r="G28" s="322"/>
      <c r="H28" s="322"/>
      <c r="I28" s="287"/>
      <c r="J28" s="288"/>
      <c r="K28" s="211"/>
      <c r="L28" s="212"/>
      <c r="M28" s="212"/>
      <c r="N28" s="212"/>
      <c r="O28" s="212"/>
      <c r="P28" s="212"/>
      <c r="Q28" s="212"/>
      <c r="Z28" s="102">
        <v>0</v>
      </c>
      <c r="AA28" s="209">
        <f>AVERAGE(Y11:Y16)</f>
        <v>2.3854520914476214</v>
      </c>
    </row>
    <row r="29" spans="1:49" ht="27.9" customHeight="1" thickBot="1">
      <c r="A29" s="373"/>
      <c r="B29" s="373" t="s">
        <v>677</v>
      </c>
      <c r="C29" s="372">
        <f>K17+H25+F25</f>
        <v>0</v>
      </c>
      <c r="D29" s="186" t="s">
        <v>426</v>
      </c>
      <c r="F29" s="26"/>
      <c r="G29" s="26"/>
      <c r="H29" s="26"/>
      <c r="I29" s="110"/>
      <c r="J29" s="291"/>
      <c r="K29" s="211"/>
      <c r="L29" s="211"/>
      <c r="M29" s="211"/>
      <c r="N29" s="211"/>
      <c r="O29" s="211"/>
      <c r="P29" s="211"/>
      <c r="Q29" s="211"/>
      <c r="R29" s="102"/>
      <c r="S29" s="102"/>
      <c r="T29" s="102"/>
    </row>
    <row r="30" spans="1:49" ht="26.4" customHeight="1" thickBot="1">
      <c r="A30" s="373"/>
      <c r="B30" s="373" t="s">
        <v>576</v>
      </c>
      <c r="C30" s="372">
        <f>G25+L17+I25</f>
        <v>0</v>
      </c>
      <c r="D30" s="186" t="s">
        <v>426</v>
      </c>
      <c r="E30" s="26"/>
      <c r="F30" s="26"/>
      <c r="G30" s="26"/>
      <c r="H30" s="26"/>
      <c r="I30" s="26"/>
      <c r="J30" s="26"/>
      <c r="K30" s="211"/>
      <c r="L30" s="211"/>
      <c r="M30" s="211"/>
      <c r="N30" s="211"/>
      <c r="O30" s="211"/>
      <c r="P30" s="211"/>
      <c r="Q30" s="211"/>
      <c r="R30" s="102"/>
      <c r="AA30" s="97">
        <f>Z30*0.83</f>
        <v>0</v>
      </c>
    </row>
    <row r="31" spans="1:49" ht="26.4" customHeight="1" thickBot="1">
      <c r="A31" s="527"/>
      <c r="B31" s="527" t="s">
        <v>377</v>
      </c>
      <c r="C31" s="528">
        <f>C29+C30</f>
        <v>0</v>
      </c>
      <c r="D31" s="186" t="s">
        <v>426</v>
      </c>
      <c r="E31" s="26"/>
      <c r="F31" s="26"/>
      <c r="G31" s="26"/>
      <c r="H31" s="26"/>
      <c r="I31" s="26"/>
      <c r="J31" s="26"/>
      <c r="K31" s="211"/>
      <c r="L31" s="211"/>
      <c r="M31" s="211"/>
      <c r="N31" s="211"/>
      <c r="O31" s="211"/>
      <c r="P31" s="211"/>
      <c r="Q31" s="211"/>
      <c r="R31" s="102"/>
      <c r="AA31" s="97"/>
    </row>
    <row r="32" spans="1:49" ht="38.4" customHeight="1">
      <c r="A32" s="535" t="s">
        <v>617</v>
      </c>
      <c r="B32" s="535"/>
      <c r="K32" s="211"/>
      <c r="L32" s="211"/>
      <c r="M32" s="211"/>
      <c r="N32" s="211"/>
      <c r="O32" s="211"/>
      <c r="P32" s="211"/>
      <c r="Q32" s="211"/>
    </row>
    <row r="33" spans="1:51" ht="45.6">
      <c r="A33" s="4" t="s">
        <v>273</v>
      </c>
      <c r="B33" s="305" t="s">
        <v>234</v>
      </c>
      <c r="C33" s="28" t="s">
        <v>233</v>
      </c>
      <c r="D33" s="28" t="s">
        <v>660</v>
      </c>
      <c r="E33" s="28" t="s">
        <v>667</v>
      </c>
      <c r="G33" s="349" t="s">
        <v>662</v>
      </c>
      <c r="H33" s="99"/>
      <c r="I33" s="99"/>
      <c r="L33" s="56"/>
      <c r="M33" s="56"/>
      <c r="N33" s="56"/>
      <c r="O33" s="56"/>
      <c r="P33" s="56"/>
      <c r="Q33" s="56"/>
      <c r="R33" s="80" t="s">
        <v>321</v>
      </c>
      <c r="S33" s="80" t="s">
        <v>316</v>
      </c>
      <c r="AH33" s="327" t="s">
        <v>491</v>
      </c>
      <c r="AI33" s="327"/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W33" s="327"/>
      <c r="AX33" s="327"/>
      <c r="AY33" s="327"/>
    </row>
    <row r="34" spans="1:51">
      <c r="A34" s="23" t="s">
        <v>275</v>
      </c>
      <c r="B34" s="242">
        <v>0</v>
      </c>
      <c r="C34" s="242">
        <v>1</v>
      </c>
      <c r="D34" s="112">
        <v>4.2000000000000003E-2</v>
      </c>
      <c r="E34" s="30">
        <f>C34*D34*B34</f>
        <v>0</v>
      </c>
      <c r="G34" s="515" t="s">
        <v>641</v>
      </c>
      <c r="H34" s="487"/>
      <c r="I34" s="99"/>
      <c r="L34" s="211"/>
      <c r="M34" s="211"/>
      <c r="N34" s="211"/>
      <c r="O34" s="211"/>
      <c r="P34" s="211"/>
      <c r="Q34" s="211"/>
      <c r="R34">
        <v>1.2999999999999999E-2</v>
      </c>
      <c r="S34">
        <v>0.43783</v>
      </c>
      <c r="T34">
        <f>188346/59860</f>
        <v>3.1464416972936853</v>
      </c>
      <c r="Z34" s="80" t="s">
        <v>223</v>
      </c>
      <c r="AA34" s="80" t="s">
        <v>224</v>
      </c>
      <c r="AB34" s="80" t="s">
        <v>225</v>
      </c>
      <c r="AC34" s="80" t="s">
        <v>226</v>
      </c>
      <c r="AD34" s="80" t="s">
        <v>227</v>
      </c>
      <c r="AE34" s="80" t="s">
        <v>230</v>
      </c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</row>
    <row r="35" spans="1:51">
      <c r="A35" s="23" t="s">
        <v>276</v>
      </c>
      <c r="B35" s="240">
        <v>0</v>
      </c>
      <c r="C35" s="240">
        <v>0</v>
      </c>
      <c r="D35" s="31">
        <v>2.8000000000000001E-2</v>
      </c>
      <c r="E35" s="8">
        <f>C35*D35*B35</f>
        <v>0</v>
      </c>
      <c r="G35" s="486">
        <f>R34*B34*C34*$S$34</f>
        <v>0</v>
      </c>
      <c r="H35" s="487"/>
      <c r="I35" s="99"/>
      <c r="L35" s="211"/>
      <c r="M35" s="211"/>
      <c r="N35" s="211"/>
      <c r="O35" s="211"/>
      <c r="P35" s="211"/>
      <c r="Q35" s="211"/>
      <c r="R35">
        <v>8.8999999999999999E-3</v>
      </c>
      <c r="T35">
        <f>252034/80396</f>
        <v>3.1349072093138961</v>
      </c>
      <c r="V35" s="114"/>
      <c r="X35" s="91" t="s">
        <v>174</v>
      </c>
      <c r="Z35" s="105">
        <v>185</v>
      </c>
      <c r="AA35" s="106">
        <v>186.4</v>
      </c>
      <c r="AB35">
        <v>1.2</v>
      </c>
      <c r="AC35">
        <f t="shared" ref="AC35:AC40" si="11">(AA35-Z35)/AB35</f>
        <v>1.1666666666666714</v>
      </c>
      <c r="AD35" s="80">
        <f t="shared" ref="AD35:AD40" si="12">1/AB35</f>
        <v>0.83333333333333337</v>
      </c>
      <c r="AE35" s="102">
        <f t="shared" ref="AE35:AE40" si="13">AA35-Z35</f>
        <v>1.4000000000000057</v>
      </c>
      <c r="AH35" s="327"/>
      <c r="AI35" s="327"/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  <c r="AT35" s="327"/>
      <c r="AU35" s="327"/>
      <c r="AV35" s="327"/>
      <c r="AW35" s="327"/>
      <c r="AX35" s="327"/>
      <c r="AY35" s="327"/>
    </row>
    <row r="36" spans="1:51" ht="14.4">
      <c r="A36" s="23"/>
      <c r="C36" s="213"/>
      <c r="D36" s="213" t="s">
        <v>386</v>
      </c>
      <c r="E36" s="51">
        <f>E35+E34</f>
        <v>0</v>
      </c>
      <c r="G36" s="256">
        <f>R35*B35*C35*$S$34</f>
        <v>0</v>
      </c>
      <c r="H36" s="487"/>
      <c r="I36" s="99"/>
      <c r="L36" s="211"/>
      <c r="M36" s="211"/>
      <c r="N36" s="211"/>
      <c r="O36" s="211"/>
      <c r="P36" s="211"/>
      <c r="Q36" s="211"/>
      <c r="V36" s="114"/>
      <c r="X36" s="91" t="s">
        <v>213</v>
      </c>
      <c r="Z36" s="105">
        <v>287</v>
      </c>
      <c r="AA36" s="101">
        <v>297.8</v>
      </c>
      <c r="AB36">
        <v>3.5</v>
      </c>
      <c r="AC36">
        <f t="shared" si="11"/>
        <v>3.085714285714289</v>
      </c>
      <c r="AD36" s="80">
        <f t="shared" si="12"/>
        <v>0.2857142857142857</v>
      </c>
      <c r="AE36" s="102">
        <f t="shared" si="13"/>
        <v>10.800000000000011</v>
      </c>
      <c r="AH36" s="327" t="s">
        <v>492</v>
      </c>
      <c r="AI36" s="327"/>
      <c r="AJ36" s="327"/>
      <c r="AK36" s="327"/>
      <c r="AL36" s="327"/>
      <c r="AM36" s="327"/>
      <c r="AN36" s="327"/>
      <c r="AO36" s="327"/>
      <c r="AP36" s="327"/>
      <c r="AQ36" s="327"/>
      <c r="AR36" s="327"/>
      <c r="AS36" s="331" t="s">
        <v>493</v>
      </c>
      <c r="AT36" s="327"/>
      <c r="AU36" s="327"/>
      <c r="AV36" s="327"/>
      <c r="AW36" s="327"/>
      <c r="AX36" s="327"/>
      <c r="AY36" s="327"/>
    </row>
    <row r="37" spans="1:51" ht="16.8">
      <c r="A37" s="4" t="s">
        <v>274</v>
      </c>
      <c r="B37" s="305" t="s">
        <v>234</v>
      </c>
      <c r="C37" s="28" t="s">
        <v>233</v>
      </c>
      <c r="D37" s="28" t="s">
        <v>660</v>
      </c>
      <c r="E37" s="28" t="s">
        <v>668</v>
      </c>
      <c r="G37" s="295"/>
      <c r="H37" s="487"/>
      <c r="I37" s="99"/>
      <c r="L37" s="56"/>
      <c r="M37" s="56"/>
      <c r="N37" s="56"/>
      <c r="O37" s="56"/>
      <c r="P37" s="56"/>
      <c r="Q37" s="56"/>
      <c r="V37" s="134"/>
      <c r="X37" s="91" t="s">
        <v>175</v>
      </c>
      <c r="Z37" s="105">
        <v>436</v>
      </c>
      <c r="AA37" s="101">
        <v>497</v>
      </c>
      <c r="AB37">
        <v>9</v>
      </c>
      <c r="AC37">
        <f t="shared" si="11"/>
        <v>6.7777777777777777</v>
      </c>
      <c r="AD37" s="80">
        <f t="shared" si="12"/>
        <v>0.1111111111111111</v>
      </c>
      <c r="AE37" s="102">
        <f t="shared" si="13"/>
        <v>61</v>
      </c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</row>
    <row r="38" spans="1:51">
      <c r="A38" s="23" t="s">
        <v>30</v>
      </c>
      <c r="B38" s="242">
        <v>0</v>
      </c>
      <c r="C38" s="242">
        <v>0</v>
      </c>
      <c r="D38" s="306">
        <v>2.5499999999999998E-2</v>
      </c>
      <c r="E38" s="30">
        <f>C38*D38*B38</f>
        <v>0</v>
      </c>
      <c r="G38" s="18" t="s">
        <v>300</v>
      </c>
      <c r="H38" s="487"/>
      <c r="I38" s="99"/>
      <c r="L38" s="211"/>
      <c r="M38" s="211"/>
      <c r="N38" s="211"/>
      <c r="O38" s="211"/>
      <c r="P38" s="211"/>
      <c r="Q38" s="211"/>
      <c r="R38" s="149">
        <v>8.0000000000000002E-3</v>
      </c>
      <c r="V38" s="124"/>
      <c r="X38" s="91" t="s">
        <v>176</v>
      </c>
      <c r="Y38" s="98"/>
      <c r="Z38" s="101">
        <v>630</v>
      </c>
      <c r="AA38" s="101">
        <v>962</v>
      </c>
      <c r="AB38">
        <v>25</v>
      </c>
      <c r="AC38">
        <f t="shared" si="11"/>
        <v>13.28</v>
      </c>
      <c r="AD38" s="80">
        <f t="shared" si="12"/>
        <v>0.04</v>
      </c>
      <c r="AE38" s="102">
        <f t="shared" si="13"/>
        <v>332</v>
      </c>
      <c r="AH38" s="333"/>
      <c r="AI38" s="334" t="s">
        <v>494</v>
      </c>
      <c r="AJ38" s="334"/>
      <c r="AK38" s="334"/>
      <c r="AL38" s="335"/>
      <c r="AM38" s="327"/>
      <c r="AN38" s="327"/>
      <c r="AO38" s="327"/>
      <c r="AP38" s="327"/>
      <c r="AQ38" s="327"/>
      <c r="AR38" s="327"/>
      <c r="AS38" s="327"/>
      <c r="AT38" s="327">
        <f>AT41/AT40</f>
        <v>1.202247191011236</v>
      </c>
      <c r="AU38" s="327"/>
      <c r="AV38" s="327" t="s">
        <v>67</v>
      </c>
      <c r="AW38" s="327"/>
      <c r="AX38" s="327"/>
      <c r="AY38" s="327"/>
    </row>
    <row r="39" spans="1:51" ht="14.4">
      <c r="A39" s="23" t="s">
        <v>29</v>
      </c>
      <c r="B39" s="240">
        <v>0</v>
      </c>
      <c r="C39" s="240">
        <v>0</v>
      </c>
      <c r="D39" s="93">
        <v>5.0000000000000001E-3</v>
      </c>
      <c r="E39" s="8">
        <f>C39*D39*B39</f>
        <v>0</v>
      </c>
      <c r="G39" s="486">
        <f>R38*B38*C38</f>
        <v>0</v>
      </c>
      <c r="H39" s="487"/>
      <c r="I39" s="99"/>
      <c r="L39" s="211"/>
      <c r="M39" s="211"/>
      <c r="N39" s="211"/>
      <c r="O39" s="211"/>
      <c r="P39" s="211"/>
      <c r="Q39" s="211"/>
      <c r="V39" s="124"/>
      <c r="X39" s="91" t="s">
        <v>177</v>
      </c>
      <c r="Y39" s="98"/>
      <c r="Z39" s="101">
        <v>796</v>
      </c>
      <c r="AA39" s="101">
        <v>1205</v>
      </c>
      <c r="AB39">
        <v>40</v>
      </c>
      <c r="AC39">
        <f t="shared" si="11"/>
        <v>10.225</v>
      </c>
      <c r="AD39" s="80">
        <f t="shared" si="12"/>
        <v>2.5000000000000001E-2</v>
      </c>
      <c r="AE39" s="102">
        <f t="shared" si="13"/>
        <v>409</v>
      </c>
      <c r="AH39" s="336"/>
      <c r="AI39" s="337" t="s">
        <v>495</v>
      </c>
      <c r="AJ39" s="338" t="s">
        <v>496</v>
      </c>
      <c r="AK39" s="339" t="s">
        <v>497</v>
      </c>
      <c r="AL39" s="327"/>
      <c r="AM39" s="327"/>
      <c r="AN39" s="332"/>
      <c r="AO39" s="327"/>
      <c r="AP39" s="327"/>
      <c r="AQ39" s="327"/>
      <c r="AR39" s="327"/>
      <c r="AS39" s="331" t="s">
        <v>300</v>
      </c>
      <c r="AT39" s="327"/>
      <c r="AU39" s="327"/>
      <c r="AV39" s="327"/>
      <c r="AW39" s="327" t="s">
        <v>467</v>
      </c>
      <c r="AX39" s="327"/>
      <c r="AY39" s="327"/>
    </row>
    <row r="40" spans="1:51" ht="13.8">
      <c r="A40" s="25"/>
      <c r="C40" s="213"/>
      <c r="D40" s="213" t="s">
        <v>387</v>
      </c>
      <c r="E40" s="51">
        <f>E38+E39</f>
        <v>0</v>
      </c>
      <c r="G40" s="295"/>
      <c r="H40" s="487"/>
      <c r="I40" s="99"/>
      <c r="L40" s="211"/>
      <c r="M40" s="211"/>
      <c r="N40" s="211"/>
      <c r="O40" s="211"/>
      <c r="P40" s="211"/>
      <c r="Q40" s="211"/>
      <c r="V40" s="124"/>
      <c r="X40" s="92" t="s">
        <v>122</v>
      </c>
      <c r="Y40" s="98"/>
      <c r="Z40" s="101">
        <v>872</v>
      </c>
      <c r="AA40" s="101">
        <v>1432</v>
      </c>
      <c r="AB40">
        <v>51</v>
      </c>
      <c r="AC40">
        <f t="shared" si="11"/>
        <v>10.980392156862745</v>
      </c>
      <c r="AD40" s="80">
        <f t="shared" si="12"/>
        <v>1.9607843137254902E-2</v>
      </c>
      <c r="AE40" s="102">
        <f t="shared" si="13"/>
        <v>560</v>
      </c>
      <c r="AH40" s="336"/>
      <c r="AI40" s="340" t="s">
        <v>498</v>
      </c>
      <c r="AJ40" s="340" t="s">
        <v>499</v>
      </c>
      <c r="AK40" s="341"/>
      <c r="AL40" s="327"/>
      <c r="AM40" s="327"/>
      <c r="AN40" s="327" t="s">
        <v>500</v>
      </c>
      <c r="AO40" s="327" t="s">
        <v>501</v>
      </c>
      <c r="AP40" s="327" t="s">
        <v>502</v>
      </c>
      <c r="AQ40" s="327"/>
      <c r="AR40" s="327"/>
      <c r="AS40" s="327" t="s">
        <v>503</v>
      </c>
      <c r="AT40" s="327">
        <v>2.67</v>
      </c>
      <c r="AU40" s="327" t="s">
        <v>498</v>
      </c>
      <c r="AV40" s="330" t="s">
        <v>504</v>
      </c>
      <c r="AW40" s="327"/>
      <c r="AX40" s="327"/>
      <c r="AY40" s="327"/>
    </row>
    <row r="41" spans="1:51">
      <c r="D41" s="80"/>
      <c r="G41" s="295"/>
      <c r="H41" s="487"/>
      <c r="I41" s="99"/>
      <c r="L41" s="211"/>
      <c r="M41" s="211"/>
      <c r="N41" s="211"/>
      <c r="O41" s="211"/>
      <c r="P41" s="211"/>
      <c r="Q41" s="211"/>
      <c r="V41" s="124"/>
      <c r="Y41" s="98"/>
      <c r="Z41" s="101"/>
      <c r="AA41" s="101"/>
      <c r="AH41" s="336" t="s">
        <v>462</v>
      </c>
      <c r="AI41" s="340">
        <f>0.35*AT40</f>
        <v>0.93449999999999989</v>
      </c>
      <c r="AJ41" s="342">
        <f>AT49/AT42</f>
        <v>1.9894736842105263</v>
      </c>
      <c r="AK41" s="341">
        <f>AT46/AT50</f>
        <v>1.0436046511627908</v>
      </c>
      <c r="AL41" s="327"/>
      <c r="AM41" s="327"/>
      <c r="AN41" s="327">
        <f>AT49</f>
        <v>1.1339999999999999</v>
      </c>
      <c r="AO41" s="327">
        <f>AK41*AT49</f>
        <v>1.1834476744186047</v>
      </c>
      <c r="AP41" s="327">
        <f>AO41*AT38</f>
        <v>1.4227966422785472</v>
      </c>
      <c r="AQ41" s="327"/>
      <c r="AR41" s="327"/>
      <c r="AS41" s="327"/>
      <c r="AT41" s="327">
        <v>3.21</v>
      </c>
      <c r="AU41" s="327" t="s">
        <v>505</v>
      </c>
      <c r="AV41" s="327" t="s">
        <v>504</v>
      </c>
      <c r="AW41" s="327"/>
      <c r="AX41" s="327"/>
      <c r="AY41" s="327"/>
    </row>
    <row r="42" spans="1:51" ht="16.8">
      <c r="A42" s="22" t="s">
        <v>291</v>
      </c>
      <c r="B42" s="305" t="s">
        <v>234</v>
      </c>
      <c r="C42" s="28" t="s">
        <v>233</v>
      </c>
      <c r="D42" s="28" t="s">
        <v>661</v>
      </c>
      <c r="E42" s="28" t="s">
        <v>668</v>
      </c>
      <c r="G42" s="295"/>
      <c r="H42" s="487"/>
      <c r="I42" s="99"/>
      <c r="L42" s="56"/>
      <c r="M42" s="56"/>
      <c r="N42" s="56"/>
      <c r="O42" s="56"/>
      <c r="P42" s="56"/>
      <c r="Q42" s="56"/>
      <c r="S42" s="4" t="s">
        <v>290</v>
      </c>
      <c r="T42" s="133" t="s">
        <v>315</v>
      </c>
      <c r="V42" s="124"/>
      <c r="Y42" s="98"/>
      <c r="AH42" s="336" t="s">
        <v>463</v>
      </c>
      <c r="AI42" s="340">
        <f>((0.85*AT54)+(0.15*AT59))/AT40</f>
        <v>0.13595505617977527</v>
      </c>
      <c r="AJ42" s="342">
        <f>((0.85*AT55)+(0.15*AT60))/AT42</f>
        <v>1.9701754385964914</v>
      </c>
      <c r="AK42" s="341">
        <f>AT45/((0.85*AT56)+(0.15*AT61))</f>
        <v>1.4730006835269993</v>
      </c>
      <c r="AL42" s="327"/>
      <c r="AM42" s="327"/>
      <c r="AN42" s="327"/>
      <c r="AO42" s="327"/>
      <c r="AP42" s="327"/>
      <c r="AQ42" s="327"/>
      <c r="AR42" s="327"/>
      <c r="AS42" s="327" t="s">
        <v>506</v>
      </c>
      <c r="AT42" s="327">
        <v>0.56999999999999995</v>
      </c>
      <c r="AU42" s="327" t="s">
        <v>498</v>
      </c>
      <c r="AV42" s="327" t="s">
        <v>504</v>
      </c>
      <c r="AW42" s="327">
        <v>3.24</v>
      </c>
      <c r="AX42" s="327" t="s">
        <v>498</v>
      </c>
      <c r="AY42" s="327"/>
    </row>
    <row r="43" spans="1:51" ht="14.4">
      <c r="A43" s="24" t="s">
        <v>312</v>
      </c>
      <c r="B43" s="242">
        <v>0</v>
      </c>
      <c r="C43" s="242">
        <v>0</v>
      </c>
      <c r="D43" s="307">
        <v>1.05</v>
      </c>
      <c r="E43" s="30">
        <f>C43*B43*D43</f>
        <v>0</v>
      </c>
      <c r="G43" s="18" t="s">
        <v>299</v>
      </c>
      <c r="H43" s="487"/>
      <c r="I43" s="99"/>
      <c r="L43" s="211"/>
      <c r="M43" s="211"/>
      <c r="N43" s="211"/>
      <c r="O43" s="211"/>
      <c r="P43" s="211"/>
      <c r="Q43" s="211"/>
      <c r="S43">
        <v>0.48</v>
      </c>
      <c r="T43" s="133">
        <f>1.14/0.45</f>
        <v>2.5333333333333332</v>
      </c>
      <c r="V43" s="124"/>
      <c r="AH43" s="336"/>
      <c r="AI43" s="340" t="s">
        <v>505</v>
      </c>
      <c r="AJ43" s="342"/>
      <c r="AK43" s="341"/>
      <c r="AL43" s="327"/>
      <c r="AM43" s="327"/>
      <c r="AN43" s="327"/>
      <c r="AO43" s="327"/>
      <c r="AP43" s="327"/>
      <c r="AQ43" s="327"/>
      <c r="AR43" s="327"/>
      <c r="AS43" s="327"/>
      <c r="AT43" s="327">
        <v>0.69</v>
      </c>
      <c r="AU43" s="327" t="s">
        <v>505</v>
      </c>
      <c r="AV43" s="327" t="s">
        <v>504</v>
      </c>
      <c r="AW43" s="327">
        <v>3.9</v>
      </c>
      <c r="AX43" s="327" t="s">
        <v>505</v>
      </c>
      <c r="AY43" s="327"/>
    </row>
    <row r="44" spans="1:51" ht="14.4">
      <c r="A44" s="23" t="s">
        <v>313</v>
      </c>
      <c r="B44" s="240">
        <v>0</v>
      </c>
      <c r="C44" s="240">
        <v>0</v>
      </c>
      <c r="D44" s="132">
        <v>0.97</v>
      </c>
      <c r="E44" s="8">
        <f>C44*B44*D44</f>
        <v>0</v>
      </c>
      <c r="G44" s="486">
        <f>C43*S43*X52*$Y$52*B43</f>
        <v>0</v>
      </c>
      <c r="H44" s="487"/>
      <c r="I44" s="99"/>
      <c r="L44" s="211"/>
      <c r="M44" s="211"/>
      <c r="N44" s="211"/>
      <c r="O44" s="211"/>
      <c r="P44" s="211"/>
      <c r="Q44" s="211"/>
      <c r="S44">
        <v>0.39</v>
      </c>
      <c r="T44" s="133">
        <f>0.82/0.33</f>
        <v>2.4848484848484844</v>
      </c>
      <c r="Y44" s="80" t="s">
        <v>228</v>
      </c>
      <c r="Z44" s="80" t="s">
        <v>231</v>
      </c>
      <c r="AA44" s="80" t="s">
        <v>229</v>
      </c>
      <c r="AB44" s="80" t="s">
        <v>319</v>
      </c>
      <c r="AC44" s="104" t="s">
        <v>318</v>
      </c>
      <c r="AH44" s="336" t="s">
        <v>464</v>
      </c>
      <c r="AI44" s="340">
        <f>AT64/AT41</f>
        <v>0</v>
      </c>
      <c r="AJ44" s="342">
        <f>AT65/AT43</f>
        <v>1.6231884057971018</v>
      </c>
      <c r="AK44" s="341">
        <f>AT45/AT66</f>
        <v>1.0059516863111215</v>
      </c>
      <c r="AL44" s="327"/>
      <c r="AM44" s="327"/>
      <c r="AN44" s="327"/>
      <c r="AO44" s="327"/>
      <c r="AP44" s="327"/>
      <c r="AQ44" s="327"/>
      <c r="AR44" s="327"/>
      <c r="AS44" s="327"/>
      <c r="AT44" s="327">
        <f>AT43/AT45*0.277777777777777</f>
        <v>4.4470224284609301E-3</v>
      </c>
      <c r="AU44" s="327" t="s">
        <v>507</v>
      </c>
      <c r="AV44" s="327"/>
      <c r="AW44" s="327"/>
      <c r="AX44" s="327"/>
      <c r="AY44" s="327"/>
    </row>
    <row r="45" spans="1:51" ht="14.4">
      <c r="A45" s="23" t="s">
        <v>314</v>
      </c>
      <c r="B45" s="240">
        <v>0</v>
      </c>
      <c r="C45" s="244">
        <v>0</v>
      </c>
      <c r="D45" s="132">
        <v>0.63</v>
      </c>
      <c r="E45" s="8">
        <f>C45*B45*D45</f>
        <v>0</v>
      </c>
      <c r="G45" s="295">
        <f>C44*S44*X53*$Y$52*B44</f>
        <v>0</v>
      </c>
      <c r="H45" s="487"/>
      <c r="I45" s="99"/>
      <c r="L45" s="211"/>
      <c r="M45" s="211"/>
      <c r="N45" s="211"/>
      <c r="O45" s="211"/>
      <c r="P45" s="211"/>
      <c r="Q45" s="211"/>
      <c r="S45">
        <v>0.25</v>
      </c>
      <c r="T45" s="133">
        <f>0.63/0.25</f>
        <v>2.52</v>
      </c>
      <c r="X45" s="91" t="s">
        <v>174</v>
      </c>
      <c r="Y45">
        <f t="shared" ref="Y45:Z50" si="14">B11</f>
        <v>0</v>
      </c>
      <c r="Z45">
        <f t="shared" si="14"/>
        <v>1.2</v>
      </c>
      <c r="AA45" s="100">
        <f t="shared" ref="AA45:AA50" si="15">Z45/AB35</f>
        <v>1</v>
      </c>
      <c r="AB45" s="137">
        <f>Z35+AA45*AE35</f>
        <v>186.4</v>
      </c>
      <c r="AC45" s="137">
        <f t="shared" ref="AC45:AC50" si="16">Y45*Z35+AA45*AE35</f>
        <v>1.4000000000000057</v>
      </c>
      <c r="AH45" s="336" t="s">
        <v>17</v>
      </c>
      <c r="AI45" s="340">
        <f>AT69/AT41</f>
        <v>0.83489096573208732</v>
      </c>
      <c r="AJ45" s="342">
        <f>AT70/AT43</f>
        <v>0.56521739130434745</v>
      </c>
      <c r="AK45" s="341">
        <f>AT45/AT71</f>
        <v>0.95565410199556544</v>
      </c>
      <c r="AL45" s="327"/>
      <c r="AM45" s="327"/>
      <c r="AN45" s="327"/>
      <c r="AO45" s="327"/>
      <c r="AP45" s="327"/>
      <c r="AQ45" s="327"/>
      <c r="AR45" s="327"/>
      <c r="AS45" s="327" t="s">
        <v>508</v>
      </c>
      <c r="AT45" s="327">
        <v>43.1</v>
      </c>
      <c r="AU45" s="327" t="s">
        <v>509</v>
      </c>
      <c r="AV45" s="327" t="s">
        <v>504</v>
      </c>
      <c r="AW45" s="327"/>
      <c r="AX45" s="327"/>
      <c r="AY45" s="327"/>
    </row>
    <row r="46" spans="1:51" ht="13.8">
      <c r="A46" s="25"/>
      <c r="B46" s="25"/>
      <c r="C46" s="213"/>
      <c r="D46" s="213" t="s">
        <v>388</v>
      </c>
      <c r="E46" s="51">
        <f>E43+E44+E45</f>
        <v>0</v>
      </c>
      <c r="G46" s="295">
        <f>C45*S45*X54*$Y$52*B45</f>
        <v>0</v>
      </c>
      <c r="H46" s="487"/>
      <c r="I46" s="99"/>
      <c r="X46" s="91" t="s">
        <v>213</v>
      </c>
      <c r="Y46">
        <f t="shared" si="14"/>
        <v>0</v>
      </c>
      <c r="Z46">
        <f t="shared" si="14"/>
        <v>3.5</v>
      </c>
      <c r="AA46" s="100">
        <f t="shared" si="15"/>
        <v>1</v>
      </c>
      <c r="AB46" s="137">
        <f t="shared" ref="AB46:AB50" si="17">Z36+AA46*AE36</f>
        <v>297.8</v>
      </c>
      <c r="AC46" s="137">
        <f t="shared" si="16"/>
        <v>10.800000000000011</v>
      </c>
      <c r="AH46" s="336"/>
      <c r="AI46" s="340" t="s">
        <v>507</v>
      </c>
      <c r="AJ46" s="342"/>
      <c r="AK46" s="340"/>
      <c r="AL46" s="341"/>
      <c r="AM46" s="327"/>
      <c r="AN46" s="327"/>
      <c r="AO46" s="327"/>
      <c r="AP46" s="327"/>
      <c r="AQ46" s="327"/>
      <c r="AR46" s="327"/>
      <c r="AS46" s="327"/>
      <c r="AT46" s="327">
        <v>35.9</v>
      </c>
      <c r="AU46" s="327" t="s">
        <v>510</v>
      </c>
      <c r="AV46" s="327" t="s">
        <v>504</v>
      </c>
      <c r="AW46" s="327"/>
      <c r="AX46" s="327"/>
      <c r="AY46" s="327"/>
    </row>
    <row r="47" spans="1:51" ht="15" thickBot="1">
      <c r="B47" s="25"/>
      <c r="C47" s="25"/>
      <c r="D47" s="26"/>
      <c r="E47" s="26"/>
      <c r="F47" s="131"/>
      <c r="G47" s="380"/>
      <c r="H47" s="488"/>
      <c r="I47" s="26"/>
      <c r="X47" s="91" t="s">
        <v>175</v>
      </c>
      <c r="Y47">
        <f t="shared" si="14"/>
        <v>0</v>
      </c>
      <c r="Z47">
        <f t="shared" si="14"/>
        <v>9</v>
      </c>
      <c r="AA47" s="100">
        <f t="shared" si="15"/>
        <v>1</v>
      </c>
      <c r="AB47" s="137">
        <f t="shared" si="17"/>
        <v>497</v>
      </c>
      <c r="AC47" s="137">
        <f t="shared" si="16"/>
        <v>61</v>
      </c>
      <c r="AH47" s="343" t="s">
        <v>465</v>
      </c>
      <c r="AI47" s="338">
        <v>0</v>
      </c>
      <c r="AJ47" s="344">
        <f>AJ49</f>
        <v>0.66639020537124805</v>
      </c>
      <c r="AK47" s="338"/>
      <c r="AL47" s="339"/>
      <c r="AM47" s="327"/>
      <c r="AN47" s="327"/>
      <c r="AO47" s="327"/>
      <c r="AP47" s="327"/>
      <c r="AQ47" s="327"/>
      <c r="AR47" s="327"/>
      <c r="AS47" s="331" t="s">
        <v>462</v>
      </c>
      <c r="AT47" s="327"/>
      <c r="AU47" s="327"/>
      <c r="AV47" s="327"/>
      <c r="AW47" s="327"/>
      <c r="AX47" s="327"/>
      <c r="AY47" s="327"/>
    </row>
    <row r="48" spans="1:51" ht="16.8" thickBot="1">
      <c r="A48" s="374"/>
      <c r="B48" s="374"/>
      <c r="C48" s="374"/>
      <c r="D48" s="374"/>
      <c r="E48" s="374" t="s">
        <v>578</v>
      </c>
      <c r="F48" s="375">
        <f>C29+E36+E40+E46+B9</f>
        <v>0</v>
      </c>
      <c r="G48" s="376" t="s">
        <v>426</v>
      </c>
      <c r="H48" s="378"/>
      <c r="I48" s="99"/>
      <c r="X48" s="91" t="s">
        <v>176</v>
      </c>
      <c r="Y48">
        <f t="shared" si="14"/>
        <v>0</v>
      </c>
      <c r="Z48">
        <f t="shared" si="14"/>
        <v>20</v>
      </c>
      <c r="AA48" s="100">
        <f t="shared" si="15"/>
        <v>0.8</v>
      </c>
      <c r="AB48" s="137">
        <f t="shared" si="17"/>
        <v>895.6</v>
      </c>
      <c r="AC48" s="137">
        <f t="shared" si="16"/>
        <v>265.60000000000002</v>
      </c>
      <c r="AJ48" s="371">
        <f>AT46/3.6/2.11</f>
        <v>4.7261716692996316</v>
      </c>
      <c r="AS48" s="327" t="s">
        <v>503</v>
      </c>
      <c r="AT48" s="327">
        <v>0</v>
      </c>
      <c r="AU48" s="327"/>
      <c r="AV48" s="327"/>
      <c r="AW48" s="327"/>
      <c r="AX48" s="327"/>
    </row>
    <row r="49" spans="1:55" ht="16.8" thickBot="1">
      <c r="A49" s="489"/>
      <c r="B49" s="218"/>
      <c r="C49" s="218"/>
      <c r="D49" s="218"/>
      <c r="E49" s="218" t="s">
        <v>579</v>
      </c>
      <c r="F49" s="185">
        <f>C30+SUM(G35:G46)</f>
        <v>0</v>
      </c>
      <c r="G49" s="186" t="s">
        <v>426</v>
      </c>
      <c r="H49" s="378"/>
      <c r="I49" s="99"/>
      <c r="J49" s="22"/>
      <c r="K49" s="22"/>
      <c r="L49" s="22"/>
      <c r="M49" s="22"/>
      <c r="N49" s="22"/>
      <c r="O49" s="22"/>
      <c r="P49" s="22"/>
      <c r="Q49" s="22"/>
      <c r="R49" s="103"/>
      <c r="X49" s="91" t="s">
        <v>177</v>
      </c>
      <c r="Y49">
        <f t="shared" si="14"/>
        <v>0</v>
      </c>
      <c r="Z49">
        <f t="shared" si="14"/>
        <v>40</v>
      </c>
      <c r="AA49" s="100">
        <f t="shared" si="15"/>
        <v>1</v>
      </c>
      <c r="AB49" s="137">
        <f t="shared" si="17"/>
        <v>1205</v>
      </c>
      <c r="AC49" s="137">
        <f t="shared" si="16"/>
        <v>409</v>
      </c>
      <c r="AJ49">
        <f>AJ48*AT74</f>
        <v>0.66639020537124805</v>
      </c>
      <c r="AS49" s="327" t="s">
        <v>506</v>
      </c>
      <c r="AT49" s="327">
        <f>0.35*AT42+0.35*AT40</f>
        <v>1.1339999999999999</v>
      </c>
      <c r="AU49" s="327" t="s">
        <v>498</v>
      </c>
      <c r="AV49" s="327" t="s">
        <v>511</v>
      </c>
      <c r="AW49" s="327" t="s">
        <v>512</v>
      </c>
      <c r="AX49" s="327"/>
    </row>
    <row r="50" spans="1:55" ht="13.8">
      <c r="B50" s="26"/>
      <c r="C50" s="26"/>
      <c r="D50" s="26"/>
      <c r="E50" s="26"/>
      <c r="F50" s="26"/>
      <c r="G50" s="26"/>
      <c r="H50" s="379"/>
      <c r="X50" s="92" t="s">
        <v>122</v>
      </c>
      <c r="Y50">
        <f t="shared" si="14"/>
        <v>0</v>
      </c>
      <c r="Z50">
        <f t="shared" si="14"/>
        <v>51</v>
      </c>
      <c r="AA50" s="100">
        <f t="shared" si="15"/>
        <v>1</v>
      </c>
      <c r="AB50" s="137">
        <f t="shared" si="17"/>
        <v>1432</v>
      </c>
      <c r="AC50" s="137">
        <f t="shared" si="16"/>
        <v>560</v>
      </c>
      <c r="AS50" s="327" t="s">
        <v>508</v>
      </c>
      <c r="AT50" s="327">
        <v>34.4</v>
      </c>
      <c r="AU50" s="327" t="s">
        <v>510</v>
      </c>
      <c r="AV50" s="327" t="s">
        <v>513</v>
      </c>
      <c r="AW50" s="327"/>
      <c r="AX50" s="327"/>
    </row>
    <row r="51" spans="1:55">
      <c r="X51" s="114" t="s">
        <v>298</v>
      </c>
      <c r="Y51" s="80" t="s">
        <v>309</v>
      </c>
      <c r="AS51" s="327"/>
      <c r="AT51" s="327"/>
      <c r="AU51" s="327"/>
      <c r="AV51" s="327"/>
      <c r="AW51" s="327"/>
      <c r="AX51" s="327"/>
    </row>
    <row r="52" spans="1:55" ht="14.4">
      <c r="W52" s="80" t="s">
        <v>299</v>
      </c>
      <c r="X52" s="115">
        <v>0.50133000000000005</v>
      </c>
      <c r="Y52">
        <v>0.82</v>
      </c>
      <c r="AS52" s="331" t="s">
        <v>463</v>
      </c>
      <c r="AT52" s="327"/>
      <c r="AU52" s="327"/>
      <c r="AV52" s="327"/>
      <c r="AW52" s="327"/>
      <c r="AX52" s="327"/>
    </row>
    <row r="53" spans="1:55" ht="14.4">
      <c r="X53" s="115">
        <v>0.50133000000000005</v>
      </c>
      <c r="AS53" s="327" t="s">
        <v>514</v>
      </c>
      <c r="AT53" s="327"/>
      <c r="AU53" s="327"/>
      <c r="AV53" s="327"/>
      <c r="AW53" s="327"/>
      <c r="AX53" s="327"/>
    </row>
    <row r="54" spans="1:55" ht="14.4">
      <c r="X54" s="115">
        <v>0.50133000000000005</v>
      </c>
      <c r="AS54" s="327" t="s">
        <v>503</v>
      </c>
      <c r="AT54" s="327">
        <v>0</v>
      </c>
      <c r="AU54" s="327"/>
      <c r="AV54" s="327" t="s">
        <v>528</v>
      </c>
      <c r="AW54" s="327"/>
      <c r="AX54" s="327"/>
    </row>
    <row r="55" spans="1:55" ht="14.4">
      <c r="X55" s="115">
        <v>0.50133000000000005</v>
      </c>
      <c r="AS55" s="327" t="s">
        <v>506</v>
      </c>
      <c r="AT55" s="327">
        <v>1.24</v>
      </c>
      <c r="AU55" s="327" t="s">
        <v>498</v>
      </c>
      <c r="AV55" s="327" t="s">
        <v>504</v>
      </c>
      <c r="AW55" s="327">
        <v>1.24</v>
      </c>
      <c r="AX55" s="327" t="s">
        <v>498</v>
      </c>
    </row>
    <row r="56" spans="1:55">
      <c r="A56" s="80" t="s">
        <v>27</v>
      </c>
      <c r="X56" s="25"/>
      <c r="AS56" s="327" t="s">
        <v>508</v>
      </c>
      <c r="AT56" s="327">
        <v>26.8</v>
      </c>
      <c r="AU56" s="327" t="s">
        <v>509</v>
      </c>
      <c r="AV56" s="327" t="s">
        <v>529</v>
      </c>
      <c r="AW56" s="327"/>
      <c r="AX56" s="327"/>
    </row>
    <row r="57" spans="1:55">
      <c r="A57" s="80" t="s">
        <v>317</v>
      </c>
      <c r="X57" s="25"/>
      <c r="AS57" s="327"/>
      <c r="AT57" s="327"/>
      <c r="AU57" s="327"/>
      <c r="AV57" s="327"/>
      <c r="AW57" s="327"/>
      <c r="AX57" s="327"/>
    </row>
    <row r="58" spans="1:55">
      <c r="A58" s="80" t="s">
        <v>214</v>
      </c>
      <c r="X58" s="114" t="s">
        <v>298</v>
      </c>
      <c r="AS58" s="327" t="s">
        <v>515</v>
      </c>
      <c r="AT58" s="327"/>
      <c r="AU58" s="327"/>
      <c r="AV58" s="327"/>
      <c r="AW58" s="327"/>
      <c r="AX58" s="327"/>
    </row>
    <row r="59" spans="1:55" ht="14.4">
      <c r="A59" s="80" t="s">
        <v>219</v>
      </c>
      <c r="W59" s="80" t="s">
        <v>300</v>
      </c>
      <c r="X59" s="111">
        <v>0.55642999999999998</v>
      </c>
      <c r="AS59" s="327" t="s">
        <v>503</v>
      </c>
      <c r="AT59" s="327">
        <v>2.42</v>
      </c>
      <c r="AU59" s="327" t="s">
        <v>498</v>
      </c>
      <c r="AV59" s="327">
        <f>$Y$12</f>
        <v>2.4184676034598085</v>
      </c>
      <c r="AW59" s="327"/>
      <c r="AX59" s="327"/>
    </row>
    <row r="60" spans="1:55">
      <c r="A60" s="80" t="s">
        <v>277</v>
      </c>
      <c r="W60" s="80" t="s">
        <v>303</v>
      </c>
      <c r="X60" s="25">
        <v>0.70655000000000001</v>
      </c>
      <c r="AS60" s="327" t="s">
        <v>506</v>
      </c>
      <c r="AT60" s="327">
        <f>AW60-AT59</f>
        <v>0.45999999999999996</v>
      </c>
      <c r="AU60" s="327" t="s">
        <v>498</v>
      </c>
      <c r="AV60" s="327">
        <f>$Y$12</f>
        <v>2.4184676034598085</v>
      </c>
      <c r="AW60" s="327">
        <v>2.88</v>
      </c>
      <c r="AX60" s="327" t="s">
        <v>498</v>
      </c>
    </row>
    <row r="61" spans="1:55" ht="14.4">
      <c r="A61" s="80" t="s">
        <v>301</v>
      </c>
      <c r="X61" s="115">
        <v>0.50133000000000005</v>
      </c>
      <c r="AS61" s="327" t="s">
        <v>508</v>
      </c>
      <c r="AT61" s="327">
        <v>43.2</v>
      </c>
      <c r="AU61" s="327" t="s">
        <v>509</v>
      </c>
      <c r="AV61" s="327">
        <f>$Y$12</f>
        <v>2.4184676034598085</v>
      </c>
      <c r="AW61" s="327"/>
      <c r="AX61" s="327"/>
    </row>
    <row r="62" spans="1:55" ht="14.4">
      <c r="F62" s="1"/>
      <c r="G62" s="1"/>
      <c r="H62" s="1"/>
      <c r="X62">
        <v>0.43783</v>
      </c>
      <c r="AS62" s="327"/>
      <c r="AT62" s="327"/>
      <c r="AU62" s="327"/>
      <c r="AV62" s="327"/>
      <c r="AW62" s="327"/>
      <c r="AX62" s="327"/>
    </row>
    <row r="63" spans="1:55" s="114" customFormat="1" ht="14.4">
      <c r="A63" s="80" t="s">
        <v>137</v>
      </c>
      <c r="B63" s="117"/>
      <c r="C63" s="117"/>
      <c r="D63" s="117"/>
      <c r="E63" s="117"/>
      <c r="AH63"/>
      <c r="AI63"/>
      <c r="AJ63"/>
      <c r="AK63"/>
      <c r="AL63"/>
      <c r="AM63"/>
      <c r="AN63"/>
      <c r="AO63"/>
      <c r="AP63"/>
      <c r="AQ63"/>
      <c r="AR63"/>
      <c r="AS63" s="331" t="s">
        <v>464</v>
      </c>
      <c r="AT63" s="327"/>
      <c r="AU63" s="327"/>
      <c r="AV63" s="327"/>
      <c r="AW63" s="327"/>
      <c r="AX63" s="327"/>
      <c r="AY63"/>
      <c r="BB63"/>
      <c r="BC63"/>
    </row>
    <row r="64" spans="1:55" ht="14.4">
      <c r="A64" s="117" t="s">
        <v>215</v>
      </c>
      <c r="F64" s="1"/>
      <c r="G64" s="1"/>
      <c r="H64" s="1"/>
      <c r="X64" s="111">
        <v>0.55642999999999998</v>
      </c>
      <c r="AS64" s="327" t="s">
        <v>503</v>
      </c>
      <c r="AT64" s="327">
        <v>0</v>
      </c>
      <c r="AU64" s="327"/>
      <c r="AV64" s="327"/>
      <c r="AW64" s="327"/>
      <c r="AX64" s="327"/>
    </row>
    <row r="65" spans="1:50" ht="14.4">
      <c r="A65" s="271" t="s">
        <v>619</v>
      </c>
      <c r="F65" s="1"/>
      <c r="G65" s="1"/>
      <c r="H65" s="1"/>
      <c r="AS65" s="327" t="s">
        <v>506</v>
      </c>
      <c r="AT65" s="327">
        <v>1.1200000000000001</v>
      </c>
      <c r="AU65" s="327" t="s">
        <v>505</v>
      </c>
      <c r="AV65" s="327" t="s">
        <v>516</v>
      </c>
      <c r="AW65" s="327"/>
      <c r="AX65" s="327"/>
    </row>
    <row r="66" spans="1:50">
      <c r="A66" s="80" t="s">
        <v>389</v>
      </c>
      <c r="AS66" s="327" t="s">
        <v>508</v>
      </c>
      <c r="AT66" s="327">
        <f>0.95*AT71</f>
        <v>42.844999999999999</v>
      </c>
      <c r="AU66" s="327" t="s">
        <v>509</v>
      </c>
      <c r="AV66" s="327" t="s">
        <v>517</v>
      </c>
      <c r="AW66" s="327"/>
      <c r="AX66" s="327"/>
    </row>
    <row r="67" spans="1:50" ht="19.5" customHeight="1">
      <c r="AS67" s="327"/>
      <c r="AT67" s="327"/>
      <c r="AU67" s="327"/>
      <c r="AV67" s="327"/>
      <c r="AW67" s="327"/>
      <c r="AX67" s="327"/>
    </row>
    <row r="68" spans="1:50" ht="14.4">
      <c r="A68" s="271" t="s">
        <v>522</v>
      </c>
      <c r="F68" s="1"/>
      <c r="G68" s="1"/>
      <c r="H68" s="1"/>
      <c r="AS68" s="331" t="s">
        <v>17</v>
      </c>
      <c r="AT68" s="327"/>
      <c r="AU68" s="327"/>
      <c r="AV68" s="327"/>
      <c r="AW68" s="327"/>
      <c r="AX68" s="327"/>
    </row>
    <row r="69" spans="1:50">
      <c r="A69" s="271" t="s">
        <v>523</v>
      </c>
      <c r="AS69" s="327" t="s">
        <v>503</v>
      </c>
      <c r="AT69" s="327">
        <v>2.68</v>
      </c>
      <c r="AU69" s="327" t="s">
        <v>505</v>
      </c>
      <c r="AV69" s="327">
        <f>$Y$12</f>
        <v>2.4184676034598085</v>
      </c>
      <c r="AW69" s="327"/>
      <c r="AX69" s="327"/>
    </row>
    <row r="70" spans="1:50" ht="69" customHeight="1">
      <c r="A70" s="529" t="s">
        <v>524</v>
      </c>
      <c r="B70" s="529"/>
      <c r="C70" s="529"/>
      <c r="D70" s="529"/>
      <c r="AS70" s="327" t="s">
        <v>506</v>
      </c>
      <c r="AT70" s="327">
        <f>AW70-AT69</f>
        <v>0.38999999999999968</v>
      </c>
      <c r="AU70" s="327" t="s">
        <v>505</v>
      </c>
      <c r="AV70" s="327">
        <f>$Y$12</f>
        <v>2.4184676034598085</v>
      </c>
      <c r="AW70" s="327">
        <f>3.07</f>
        <v>3.07</v>
      </c>
      <c r="AX70" s="327" t="s">
        <v>505</v>
      </c>
    </row>
    <row r="71" spans="1:50">
      <c r="AS71" s="327" t="s">
        <v>508</v>
      </c>
      <c r="AT71" s="327">
        <v>45.1</v>
      </c>
      <c r="AU71" s="327" t="s">
        <v>509</v>
      </c>
      <c r="AV71" s="327">
        <f>$Y$12</f>
        <v>2.4184676034598085</v>
      </c>
      <c r="AW71" s="327"/>
      <c r="AX71" s="327"/>
    </row>
    <row r="72" spans="1:50">
      <c r="AS72" s="327"/>
      <c r="AT72" s="327"/>
      <c r="AU72" s="327"/>
      <c r="AV72" s="327"/>
      <c r="AW72" s="327"/>
      <c r="AX72" s="327"/>
    </row>
    <row r="73" spans="1:50" ht="14.4">
      <c r="AS73" s="331" t="s">
        <v>465</v>
      </c>
      <c r="AT73" s="327"/>
      <c r="AU73" s="327"/>
      <c r="AV73" s="327"/>
      <c r="AW73" s="327"/>
      <c r="AX73" s="327"/>
    </row>
    <row r="74" spans="1:50" hidden="1">
      <c r="AS74" s="327" t="s">
        <v>496</v>
      </c>
      <c r="AT74" s="327">
        <v>0.14099999999999999</v>
      </c>
      <c r="AU74" s="327" t="s">
        <v>518</v>
      </c>
      <c r="AV74" s="330" t="s">
        <v>519</v>
      </c>
      <c r="AW74" s="327"/>
      <c r="AX74" s="327"/>
    </row>
    <row r="75" spans="1:50" hidden="1">
      <c r="A75" s="86" t="s">
        <v>124</v>
      </c>
      <c r="AS75" s="327"/>
      <c r="AT75" s="327"/>
      <c r="AU75" s="327"/>
      <c r="AV75" s="330" t="s">
        <v>566</v>
      </c>
      <c r="AW75" s="327"/>
      <c r="AX75" s="327"/>
    </row>
    <row r="76" spans="1:50" ht="15.6" hidden="1">
      <c r="A76" s="89" t="s">
        <v>139</v>
      </c>
      <c r="AS76" s="327"/>
      <c r="AT76" s="327"/>
      <c r="AU76" s="327"/>
      <c r="AV76" s="403" t="s">
        <v>521</v>
      </c>
      <c r="AW76" s="327"/>
      <c r="AX76" s="327"/>
    </row>
    <row r="77" spans="1:50" hidden="1">
      <c r="AN77" s="271"/>
      <c r="AO77" s="271"/>
      <c r="AP77" s="271"/>
      <c r="AQ77" s="271"/>
      <c r="AR77" s="271"/>
    </row>
    <row r="78" spans="1:50">
      <c r="AN78" s="271"/>
      <c r="AO78" s="271"/>
      <c r="AP78" s="271"/>
      <c r="AQ78" s="271"/>
      <c r="AR78" s="271"/>
    </row>
  </sheetData>
  <sheetProtection algorithmName="SHA-512" hashValue="TC7KXQdBDx0sj3tWcGeKE9OTAvzcrkx1vUHAvI0TPuuDZz07HIy9/YkYlyAXPjiJNuKv68kycKGIMQDPh/kVZQ==" saltValue="hSDzPlYvlCWyYLPAQPV9Xg==" spinCount="100000" sheet="1" objects="1" scenarios="1"/>
  <mergeCells count="9">
    <mergeCell ref="I9:K9"/>
    <mergeCell ref="A32:B32"/>
    <mergeCell ref="A70:D70"/>
    <mergeCell ref="A2:E2"/>
    <mergeCell ref="A3:D3"/>
    <mergeCell ref="A4:D4"/>
    <mergeCell ref="A5:E6"/>
    <mergeCell ref="I5:K5"/>
    <mergeCell ref="I6:K8"/>
  </mergeCells>
  <dataValidations count="7">
    <dataValidation type="decimal" allowBlank="1" showInputMessage="1" showErrorMessage="1" sqref="C16:C17" xr:uid="{8819FCD8-E841-459A-9293-9E815BCA82E8}">
      <formula1>0</formula1>
      <formula2>51</formula2>
    </dataValidation>
    <dataValidation type="decimal" allowBlank="1" showInputMessage="1" showErrorMessage="1" sqref="C15" xr:uid="{87D46ACC-7482-49D6-A297-B2BF991E1090}">
      <formula1>0</formula1>
      <formula2>40</formula2>
    </dataValidation>
    <dataValidation type="decimal" allowBlank="1" showInputMessage="1" showErrorMessage="1" sqref="C14" xr:uid="{223279B8-31E5-4449-B0EC-2AC8E40A852F}">
      <formula1>0</formula1>
      <formula2>25</formula2>
    </dataValidation>
    <dataValidation type="decimal" allowBlank="1" showInputMessage="1" showErrorMessage="1" sqref="C13" xr:uid="{4B9D6C2D-8D54-4E94-8D61-BEB1B8CBF243}">
      <formula1>0</formula1>
      <formula2>9</formula2>
    </dataValidation>
    <dataValidation type="decimal" allowBlank="1" showInputMessage="1" showErrorMessage="1" sqref="C11" xr:uid="{ED67B98E-BBB5-47D6-BB04-5F8FF390AB38}">
      <formula1>0</formula1>
      <formula2>1.2</formula2>
    </dataValidation>
    <dataValidation type="decimal" allowBlank="1" showInputMessage="1" showErrorMessage="1" sqref="C12" xr:uid="{7688E4CE-952E-4D9B-9D35-E3E359387900}">
      <formula1>1</formula1>
      <formula2>3.5</formula2>
    </dataValidation>
    <dataValidation type="list" allowBlank="1" showInputMessage="1" showErrorMessage="1" promptTitle="Vaihtoehtoinen polttoaine" prompt="Valitse polttoaine" sqref="R19:R24 I11:I16 R11:R16 D19:D24" xr:uid="{AA737CFE-C758-4223-845D-4E036A92DD83}">
      <formula1>$AC$19:$AC$23</formula1>
    </dataValidation>
  </dataValidations>
  <pageMargins left="0.75" right="0.75" top="1" bottom="1" header="0.4921259845" footer="0.492125984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1"/>
  <dimension ref="A1:JC115"/>
  <sheetViews>
    <sheetView workbookViewId="0">
      <selection activeCell="A3" sqref="A3"/>
    </sheetView>
  </sheetViews>
  <sheetFormatPr defaultRowHeight="13.2"/>
  <cols>
    <col min="1" max="1" width="60.44140625" customWidth="1"/>
    <col min="2" max="2" width="15.33203125" customWidth="1"/>
    <col min="3" max="3" width="27.88671875" customWidth="1"/>
    <col min="4" max="4" width="15.88671875" customWidth="1"/>
    <col min="5" max="5" width="26" customWidth="1"/>
    <col min="6" max="6" width="21.6640625" customWidth="1"/>
    <col min="7" max="7" width="19" customWidth="1"/>
    <col min="8" max="8" width="13" hidden="1" customWidth="1"/>
    <col min="9" max="12" width="11.88671875" hidden="1" customWidth="1"/>
    <col min="13" max="13" width="15.88671875" hidden="1" customWidth="1"/>
    <col min="14" max="14" width="15.109375" hidden="1" customWidth="1"/>
    <col min="15" max="15" width="12.33203125" customWidth="1"/>
    <col min="16" max="16" width="12" customWidth="1"/>
    <col min="17" max="17" width="13.44140625" customWidth="1"/>
    <col min="18" max="18" width="13.6640625" customWidth="1"/>
    <col min="19" max="19" width="12" customWidth="1"/>
    <col min="20" max="20" width="0" hidden="1" customWidth="1"/>
    <col min="21" max="24" width="9.109375" hidden="1" customWidth="1"/>
    <col min="25" max="25" width="16.6640625" hidden="1" customWidth="1"/>
    <col min="26" max="26" width="10.88671875" hidden="1" customWidth="1"/>
    <col min="27" max="27" width="9.109375" hidden="1" customWidth="1"/>
    <col min="28" max="28" width="9.109375" customWidth="1"/>
  </cols>
  <sheetData>
    <row r="1" spans="1:25">
      <c r="A1" s="80"/>
      <c r="B1" s="229"/>
    </row>
    <row r="2" spans="1:25" ht="45" customHeight="1">
      <c r="A2" s="540" t="s">
        <v>682</v>
      </c>
      <c r="B2" s="540"/>
      <c r="C2" s="4"/>
    </row>
    <row r="3" spans="1:25">
      <c r="A3" s="389" t="s">
        <v>620</v>
      </c>
      <c r="B3" s="25"/>
      <c r="F3" s="271" t="s">
        <v>621</v>
      </c>
      <c r="I3" s="80" t="s">
        <v>435</v>
      </c>
      <c r="P3" s="80"/>
    </row>
    <row r="4" spans="1:25" ht="56.25" customHeight="1">
      <c r="A4" s="37"/>
      <c r="B4" s="140" t="s">
        <v>25</v>
      </c>
      <c r="C4" s="35" t="s">
        <v>416</v>
      </c>
      <c r="D4" s="109" t="s">
        <v>644</v>
      </c>
      <c r="E4" s="388" t="s">
        <v>544</v>
      </c>
      <c r="F4" s="183" t="s">
        <v>545</v>
      </c>
      <c r="G4" s="183" t="s">
        <v>547</v>
      </c>
      <c r="H4" s="384" t="s">
        <v>245</v>
      </c>
      <c r="I4" s="384" t="s">
        <v>193</v>
      </c>
      <c r="J4" s="384" t="s">
        <v>194</v>
      </c>
      <c r="K4" s="384" t="s">
        <v>195</v>
      </c>
      <c r="L4" s="384" t="s">
        <v>250</v>
      </c>
      <c r="M4" s="384" t="s">
        <v>546</v>
      </c>
      <c r="N4" s="183" t="s">
        <v>248</v>
      </c>
      <c r="P4" s="390" t="s">
        <v>455</v>
      </c>
      <c r="Q4" s="28" t="s">
        <v>26</v>
      </c>
      <c r="R4" s="28" t="s">
        <v>251</v>
      </c>
      <c r="S4" s="28" t="s">
        <v>216</v>
      </c>
    </row>
    <row r="5" spans="1:25" ht="43.5" customHeight="1">
      <c r="A5" s="35" t="s">
        <v>417</v>
      </c>
      <c r="B5" s="108"/>
      <c r="C5" s="113"/>
      <c r="E5" s="438" t="s">
        <v>598</v>
      </c>
      <c r="H5" s="385"/>
      <c r="I5" s="385"/>
      <c r="J5" s="385"/>
      <c r="K5" s="385"/>
      <c r="L5" s="385"/>
      <c r="M5" s="385"/>
      <c r="P5" s="99"/>
      <c r="Q5" s="31"/>
      <c r="R5" s="112"/>
      <c r="S5" s="112"/>
    </row>
    <row r="6" spans="1:25">
      <c r="A6" s="138" t="s">
        <v>240</v>
      </c>
      <c r="B6" s="244">
        <v>0</v>
      </c>
      <c r="C6" s="118">
        <f t="shared" ref="C6:C13" si="0">B6*Q6</f>
        <v>0</v>
      </c>
      <c r="D6" s="246">
        <v>10</v>
      </c>
      <c r="E6" s="387">
        <v>0</v>
      </c>
      <c r="F6" s="8">
        <f t="shared" ref="F6" si="1">(E6*0.35*(G6+N6))+((1-E6)*(N6+G6))</f>
        <v>0</v>
      </c>
      <c r="G6" s="8">
        <f>(L6*M6)/1000</f>
        <v>0</v>
      </c>
      <c r="H6" s="386" t="e">
        <f>SUM(B6)/#REF!</f>
        <v>#REF!</v>
      </c>
      <c r="I6" s="386">
        <v>82</v>
      </c>
      <c r="J6" s="386">
        <v>6.3000000000000003E-4</v>
      </c>
      <c r="K6" s="386">
        <v>1.9E-3</v>
      </c>
      <c r="L6" s="386">
        <f>I6+J6*28+(265*K6)</f>
        <v>82.521140000000003</v>
      </c>
      <c r="M6" s="386">
        <f t="shared" ref="M6:M23" si="2">(D6*B6)</f>
        <v>0</v>
      </c>
      <c r="N6" s="8">
        <f t="shared" ref="N6:N13" si="3">0.83*$W$31*$V$31/1000*M6</f>
        <v>0</v>
      </c>
      <c r="P6" s="99"/>
      <c r="Q6" s="31">
        <v>53.43</v>
      </c>
      <c r="R6" s="31"/>
      <c r="S6" s="31"/>
    </row>
    <row r="7" spans="1:25">
      <c r="A7" s="233" t="s">
        <v>243</v>
      </c>
      <c r="B7" s="240">
        <v>0</v>
      </c>
      <c r="C7" s="118">
        <f t="shared" si="0"/>
        <v>0</v>
      </c>
      <c r="D7" s="246">
        <v>10</v>
      </c>
      <c r="E7" s="387">
        <v>0</v>
      </c>
      <c r="F7" s="8">
        <f t="shared" ref="F7:F23" si="4">(E7*0.35*(G7+N7))+((1-E7)*(N7+G7))</f>
        <v>0</v>
      </c>
      <c r="G7" s="8">
        <f t="shared" ref="G7:G23" si="5">(L7*M7)/1000</f>
        <v>0</v>
      </c>
      <c r="H7" s="386" t="e">
        <f>SUM(B7)/#REF!</f>
        <v>#REF!</v>
      </c>
      <c r="I7" s="386">
        <v>82</v>
      </c>
      <c r="J7" s="386">
        <v>6.3000000000000003E-4</v>
      </c>
      <c r="K7" s="386">
        <v>1.9E-3</v>
      </c>
      <c r="L7" s="386">
        <f t="shared" ref="L7:L23" si="6">I7+J7*28+(265*K7)</f>
        <v>82.521140000000003</v>
      </c>
      <c r="M7" s="386">
        <f t="shared" si="2"/>
        <v>0</v>
      </c>
      <c r="N7" s="8">
        <f t="shared" si="3"/>
        <v>0</v>
      </c>
      <c r="P7" s="99"/>
      <c r="Q7" s="31">
        <v>72.55</v>
      </c>
      <c r="R7" s="31"/>
      <c r="S7" s="31"/>
    </row>
    <row r="8" spans="1:25">
      <c r="A8" s="138" t="s">
        <v>241</v>
      </c>
      <c r="B8" s="240">
        <v>0</v>
      </c>
      <c r="C8" s="118">
        <f t="shared" si="0"/>
        <v>0</v>
      </c>
      <c r="D8" s="246">
        <v>10</v>
      </c>
      <c r="E8" s="387">
        <v>0</v>
      </c>
      <c r="F8" s="8">
        <f t="shared" si="4"/>
        <v>0</v>
      </c>
      <c r="G8" s="8">
        <f t="shared" si="5"/>
        <v>0</v>
      </c>
      <c r="H8" s="386" t="e">
        <f>SUM(B8)/#REF!</f>
        <v>#REF!</v>
      </c>
      <c r="I8" s="386">
        <v>82</v>
      </c>
      <c r="J8" s="386">
        <v>6.3000000000000003E-4</v>
      </c>
      <c r="K8" s="386">
        <v>1.9E-3</v>
      </c>
      <c r="L8" s="386">
        <f t="shared" si="6"/>
        <v>82.521140000000003</v>
      </c>
      <c r="M8" s="386">
        <f t="shared" si="2"/>
        <v>0</v>
      </c>
      <c r="N8" s="8">
        <f t="shared" si="3"/>
        <v>0</v>
      </c>
      <c r="P8" s="99"/>
      <c r="Q8" s="31">
        <v>13.17</v>
      </c>
      <c r="R8" s="31"/>
      <c r="S8" s="31"/>
    </row>
    <row r="9" spans="1:25">
      <c r="A9" s="138" t="s">
        <v>242</v>
      </c>
      <c r="B9" s="240">
        <v>0</v>
      </c>
      <c r="C9" s="118">
        <f t="shared" si="0"/>
        <v>0</v>
      </c>
      <c r="D9" s="246">
        <v>10</v>
      </c>
      <c r="E9" s="387">
        <v>0</v>
      </c>
      <c r="F9" s="8">
        <f t="shared" si="4"/>
        <v>0</v>
      </c>
      <c r="G9" s="8">
        <f t="shared" si="5"/>
        <v>0</v>
      </c>
      <c r="H9" s="386" t="e">
        <f>SUM(B9)/#REF!</f>
        <v>#REF!</v>
      </c>
      <c r="I9" s="386">
        <v>82</v>
      </c>
      <c r="J9" s="386">
        <v>6.3000000000000003E-4</v>
      </c>
      <c r="K9" s="386">
        <v>1.9E-3</v>
      </c>
      <c r="L9" s="386">
        <f t="shared" si="6"/>
        <v>82.521140000000003</v>
      </c>
      <c r="M9" s="386">
        <f t="shared" si="2"/>
        <v>0</v>
      </c>
      <c r="N9" s="8">
        <f t="shared" si="3"/>
        <v>0</v>
      </c>
      <c r="P9" s="99"/>
      <c r="Q9" s="31">
        <v>24.64</v>
      </c>
      <c r="R9" s="31"/>
      <c r="S9" s="31"/>
    </row>
    <row r="10" spans="1:25">
      <c r="A10" s="138" t="s">
        <v>244</v>
      </c>
      <c r="B10" s="240">
        <v>0</v>
      </c>
      <c r="C10" s="118">
        <f t="shared" si="0"/>
        <v>0</v>
      </c>
      <c r="D10" s="246">
        <v>10</v>
      </c>
      <c r="E10" s="387">
        <v>0</v>
      </c>
      <c r="F10" s="8">
        <f t="shared" si="4"/>
        <v>0</v>
      </c>
      <c r="G10" s="8">
        <f t="shared" si="5"/>
        <v>0</v>
      </c>
      <c r="H10" s="386" t="e">
        <f>SUM(B10)/#REF!</f>
        <v>#REF!</v>
      </c>
      <c r="I10" s="386">
        <v>82</v>
      </c>
      <c r="J10" s="386">
        <v>6.3000000000000003E-4</v>
      </c>
      <c r="K10" s="386">
        <v>1.9E-3</v>
      </c>
      <c r="L10" s="386">
        <f t="shared" si="6"/>
        <v>82.521140000000003</v>
      </c>
      <c r="M10" s="386">
        <f t="shared" si="2"/>
        <v>0</v>
      </c>
      <c r="N10" s="8">
        <f t="shared" si="3"/>
        <v>0</v>
      </c>
      <c r="P10" s="99"/>
      <c r="Q10" s="31">
        <v>927.58</v>
      </c>
      <c r="R10" s="31"/>
      <c r="S10" s="31"/>
    </row>
    <row r="11" spans="1:25">
      <c r="A11" s="138" t="s">
        <v>322</v>
      </c>
      <c r="B11" s="240">
        <v>0</v>
      </c>
      <c r="C11" s="118">
        <f t="shared" si="0"/>
        <v>0</v>
      </c>
      <c r="D11" s="246">
        <v>10</v>
      </c>
      <c r="E11" s="387">
        <v>0</v>
      </c>
      <c r="F11" s="8">
        <f t="shared" si="4"/>
        <v>0</v>
      </c>
      <c r="G11" s="8">
        <f t="shared" si="5"/>
        <v>0</v>
      </c>
      <c r="H11" s="386" t="e">
        <f>SUM(B11)/#REF!</f>
        <v>#REF!</v>
      </c>
      <c r="I11" s="386">
        <v>82</v>
      </c>
      <c r="J11" s="386">
        <v>6.3000000000000003E-4</v>
      </c>
      <c r="K11" s="386">
        <v>1.9E-3</v>
      </c>
      <c r="L11" s="386">
        <f t="shared" si="6"/>
        <v>82.521140000000003</v>
      </c>
      <c r="M11" s="386">
        <f t="shared" si="2"/>
        <v>0</v>
      </c>
      <c r="N11" s="8">
        <f t="shared" si="3"/>
        <v>0</v>
      </c>
      <c r="P11" s="99"/>
      <c r="Q11" s="31">
        <v>56.7</v>
      </c>
      <c r="R11" s="31"/>
      <c r="S11" s="31"/>
      <c r="T11" t="s">
        <v>156</v>
      </c>
      <c r="U11" t="s">
        <v>162</v>
      </c>
      <c r="W11" t="s">
        <v>172</v>
      </c>
      <c r="X11" t="s">
        <v>170</v>
      </c>
    </row>
    <row r="12" spans="1:25">
      <c r="A12" s="234" t="s">
        <v>249</v>
      </c>
      <c r="B12" s="240">
        <v>0</v>
      </c>
      <c r="C12" s="118">
        <f t="shared" si="0"/>
        <v>0</v>
      </c>
      <c r="D12" s="246">
        <v>10</v>
      </c>
      <c r="E12" s="387">
        <v>0</v>
      </c>
      <c r="F12" s="8">
        <f t="shared" si="4"/>
        <v>0</v>
      </c>
      <c r="G12" s="8">
        <f t="shared" si="5"/>
        <v>0</v>
      </c>
      <c r="H12" s="386" t="e">
        <f>SUM(B12)/#REF!</f>
        <v>#REF!</v>
      </c>
      <c r="I12" s="386">
        <v>82</v>
      </c>
      <c r="J12" s="386">
        <v>6.3000000000000003E-4</v>
      </c>
      <c r="K12" s="386">
        <v>1.9E-3</v>
      </c>
      <c r="L12" s="386">
        <f t="shared" si="6"/>
        <v>82.521140000000003</v>
      </c>
      <c r="M12" s="386">
        <f t="shared" si="2"/>
        <v>0</v>
      </c>
      <c r="N12" s="8">
        <f t="shared" si="3"/>
        <v>0</v>
      </c>
      <c r="P12" s="99"/>
      <c r="Q12" s="31">
        <v>119.3</v>
      </c>
      <c r="R12" s="31"/>
      <c r="S12" s="31"/>
      <c r="U12" t="s">
        <v>158</v>
      </c>
      <c r="V12">
        <v>31.8</v>
      </c>
      <c r="W12" t="s">
        <v>163</v>
      </c>
      <c r="X12">
        <f>18/1000*31.8</f>
        <v>0.57240000000000002</v>
      </c>
      <c r="Y12" s="90">
        <v>0.9</v>
      </c>
    </row>
    <row r="13" spans="1:25">
      <c r="A13" s="234" t="s">
        <v>348</v>
      </c>
      <c r="B13" s="240">
        <v>0</v>
      </c>
      <c r="C13" s="179">
        <f t="shared" si="0"/>
        <v>0</v>
      </c>
      <c r="D13" s="246">
        <v>10</v>
      </c>
      <c r="E13" s="387">
        <v>0</v>
      </c>
      <c r="F13" s="8">
        <f t="shared" si="4"/>
        <v>0</v>
      </c>
      <c r="G13" s="8">
        <f t="shared" si="5"/>
        <v>0</v>
      </c>
      <c r="H13" s="386" t="e">
        <f>SUM(B13)/#REF!</f>
        <v>#REF!</v>
      </c>
      <c r="I13" s="386">
        <v>82</v>
      </c>
      <c r="J13" s="386">
        <v>6.3000000000000003E-4</v>
      </c>
      <c r="K13" s="386">
        <v>1.9E-3</v>
      </c>
      <c r="L13" s="386">
        <f t="shared" si="6"/>
        <v>82.521140000000003</v>
      </c>
      <c r="M13" s="386">
        <f t="shared" si="2"/>
        <v>0</v>
      </c>
      <c r="N13" s="8">
        <f t="shared" si="3"/>
        <v>0</v>
      </c>
      <c r="P13" s="99"/>
      <c r="Q13" s="71">
        <v>365.87</v>
      </c>
      <c r="R13" s="71"/>
      <c r="S13" s="71"/>
      <c r="Y13" s="90"/>
    </row>
    <row r="14" spans="1:25" ht="15.6">
      <c r="A14" s="223" t="s">
        <v>418</v>
      </c>
      <c r="B14" s="464">
        <v>0</v>
      </c>
      <c r="C14" s="465"/>
      <c r="D14" s="466"/>
      <c r="E14" s="467"/>
      <c r="F14" s="8">
        <f t="shared" si="4"/>
        <v>0</v>
      </c>
      <c r="G14" s="8">
        <f t="shared" si="5"/>
        <v>0</v>
      </c>
      <c r="H14" s="386"/>
      <c r="I14" s="469"/>
      <c r="J14" s="469"/>
      <c r="K14" s="469"/>
      <c r="L14" s="469"/>
      <c r="M14" s="386">
        <f t="shared" si="2"/>
        <v>0</v>
      </c>
      <c r="N14" s="468"/>
      <c r="O14" s="407"/>
      <c r="P14" s="470"/>
      <c r="Q14" s="516"/>
      <c r="R14" s="471"/>
      <c r="S14" s="471"/>
      <c r="Y14" s="90"/>
    </row>
    <row r="15" spans="1:25">
      <c r="A15" s="233" t="s">
        <v>349</v>
      </c>
      <c r="B15" s="242">
        <v>0</v>
      </c>
      <c r="C15" s="181">
        <f t="shared" ref="C15:C23" si="7">B15*Q15</f>
        <v>0</v>
      </c>
      <c r="D15" s="246">
        <v>10</v>
      </c>
      <c r="E15" s="387">
        <v>0</v>
      </c>
      <c r="F15" s="8">
        <f t="shared" si="4"/>
        <v>0</v>
      </c>
      <c r="G15" s="8">
        <f t="shared" si="5"/>
        <v>0</v>
      </c>
      <c r="H15" s="386" t="e">
        <f>SUM(B15)/#REF!</f>
        <v>#REF!</v>
      </c>
      <c r="I15" s="386">
        <v>82</v>
      </c>
      <c r="J15" s="386">
        <v>6.3000000000000003E-4</v>
      </c>
      <c r="K15" s="386">
        <v>1.9E-3</v>
      </c>
      <c r="L15" s="386">
        <f t="shared" si="6"/>
        <v>82.521140000000003</v>
      </c>
      <c r="M15" s="386">
        <f t="shared" si="2"/>
        <v>0</v>
      </c>
      <c r="N15" s="8">
        <f t="shared" ref="N15:N23" si="8">0.83*$W$31*$V$31/1000*M15</f>
        <v>0</v>
      </c>
      <c r="P15" s="99"/>
      <c r="Q15" s="112">
        <f t="shared" ref="Q15:Q23" si="9">S15</f>
        <v>142.50000000000003</v>
      </c>
      <c r="R15" s="180">
        <f t="shared" ref="R15:R22" si="10">Y16*X16</f>
        <v>1282.5000000000007</v>
      </c>
      <c r="S15" s="112">
        <v>142.50000000000003</v>
      </c>
      <c r="Y15" s="80" t="s">
        <v>217</v>
      </c>
    </row>
    <row r="16" spans="1:25">
      <c r="A16" s="233" t="s">
        <v>350</v>
      </c>
      <c r="B16" s="242">
        <v>0</v>
      </c>
      <c r="C16" s="118">
        <f t="shared" si="7"/>
        <v>0</v>
      </c>
      <c r="D16" s="246">
        <v>10</v>
      </c>
      <c r="E16" s="387">
        <v>0</v>
      </c>
      <c r="F16" s="8">
        <f t="shared" si="4"/>
        <v>0</v>
      </c>
      <c r="G16" s="8">
        <f t="shared" si="5"/>
        <v>0</v>
      </c>
      <c r="H16" s="386" t="e">
        <f>SUM(B16)/#REF!</f>
        <v>#REF!</v>
      </c>
      <c r="I16" s="386">
        <v>82</v>
      </c>
      <c r="J16" s="386">
        <v>6.3000000000000003E-4</v>
      </c>
      <c r="K16" s="386">
        <v>1.9E-3</v>
      </c>
      <c r="L16" s="386">
        <f t="shared" si="6"/>
        <v>82.521140000000003</v>
      </c>
      <c r="M16" s="386">
        <f t="shared" si="2"/>
        <v>0</v>
      </c>
      <c r="N16" s="8">
        <f t="shared" si="8"/>
        <v>0</v>
      </c>
      <c r="P16" s="99"/>
      <c r="Q16" s="112">
        <f t="shared" si="9"/>
        <v>136.80000000000001</v>
      </c>
      <c r="R16" s="178">
        <f t="shared" si="10"/>
        <v>1231.2000000000005</v>
      </c>
      <c r="S16" s="31">
        <v>136.80000000000001</v>
      </c>
      <c r="U16" t="s">
        <v>164</v>
      </c>
      <c r="V16">
        <v>11.4</v>
      </c>
      <c r="W16">
        <f>12.5/1000*11.4</f>
        <v>0.14250000000000002</v>
      </c>
      <c r="X16" s="100">
        <v>0.9</v>
      </c>
      <c r="Y16" s="101">
        <f t="shared" ref="Y16:Y23" si="11">S15/(1-X16)</f>
        <v>1425.0000000000007</v>
      </c>
    </row>
    <row r="17" spans="1:262">
      <c r="A17" s="233" t="s">
        <v>351</v>
      </c>
      <c r="B17" s="242">
        <v>0</v>
      </c>
      <c r="C17" s="118">
        <f t="shared" si="7"/>
        <v>0</v>
      </c>
      <c r="D17" s="246">
        <v>10</v>
      </c>
      <c r="E17" s="387">
        <v>0</v>
      </c>
      <c r="F17" s="8">
        <f t="shared" si="4"/>
        <v>0</v>
      </c>
      <c r="G17" s="8">
        <f t="shared" si="5"/>
        <v>0</v>
      </c>
      <c r="H17" s="386" t="e">
        <f>SUM(B17)/#REF!</f>
        <v>#REF!</v>
      </c>
      <c r="I17" s="386">
        <v>82</v>
      </c>
      <c r="J17" s="386">
        <v>6.3000000000000003E-4</v>
      </c>
      <c r="K17" s="386">
        <v>1.9E-3</v>
      </c>
      <c r="L17" s="386">
        <f t="shared" si="6"/>
        <v>82.521140000000003</v>
      </c>
      <c r="M17" s="386">
        <f t="shared" si="2"/>
        <v>0</v>
      </c>
      <c r="N17" s="8">
        <f t="shared" si="8"/>
        <v>0</v>
      </c>
      <c r="P17" s="99"/>
      <c r="Q17" s="112">
        <f t="shared" si="9"/>
        <v>674.99999999999989</v>
      </c>
      <c r="R17" s="178">
        <f t="shared" si="10"/>
        <v>449.99999999999994</v>
      </c>
      <c r="S17" s="31">
        <v>674.99999999999989</v>
      </c>
      <c r="U17" t="s">
        <v>165</v>
      </c>
      <c r="V17">
        <v>11.4</v>
      </c>
      <c r="W17">
        <f>12/1000*11.4</f>
        <v>0.1368</v>
      </c>
      <c r="X17" s="90">
        <v>0.9</v>
      </c>
      <c r="Y17" s="101">
        <f t="shared" si="11"/>
        <v>1368.0000000000005</v>
      </c>
    </row>
    <row r="18" spans="1:262">
      <c r="A18" s="233" t="s">
        <v>352</v>
      </c>
      <c r="B18" s="242">
        <v>0</v>
      </c>
      <c r="C18" s="118">
        <f t="shared" si="7"/>
        <v>0</v>
      </c>
      <c r="D18" s="246">
        <v>10</v>
      </c>
      <c r="E18" s="387">
        <v>0</v>
      </c>
      <c r="F18" s="8">
        <f t="shared" si="4"/>
        <v>0</v>
      </c>
      <c r="G18" s="8">
        <f t="shared" si="5"/>
        <v>0</v>
      </c>
      <c r="H18" s="386" t="e">
        <f>SUM(B18)/#REF!</f>
        <v>#REF!</v>
      </c>
      <c r="I18" s="386">
        <v>82</v>
      </c>
      <c r="J18" s="386">
        <v>6.3000000000000003E-4</v>
      </c>
      <c r="K18" s="386">
        <v>1.9E-3</v>
      </c>
      <c r="L18" s="386">
        <f t="shared" si="6"/>
        <v>82.521140000000003</v>
      </c>
      <c r="M18" s="386">
        <f t="shared" si="2"/>
        <v>0</v>
      </c>
      <c r="N18" s="8">
        <f t="shared" si="8"/>
        <v>0</v>
      </c>
      <c r="P18" s="99"/>
      <c r="Q18" s="112">
        <f t="shared" si="9"/>
        <v>1904.0000000000002</v>
      </c>
      <c r="R18" s="178">
        <f t="shared" si="10"/>
        <v>634.66666666666674</v>
      </c>
      <c r="S18" s="31">
        <v>1904.0000000000002</v>
      </c>
      <c r="U18" t="s">
        <v>166</v>
      </c>
      <c r="V18">
        <v>45</v>
      </c>
      <c r="W18">
        <f>15/1000*45</f>
        <v>0.67499999999999993</v>
      </c>
      <c r="X18" s="90">
        <v>0.4</v>
      </c>
      <c r="Y18" s="101">
        <f t="shared" si="11"/>
        <v>1124.9999999999998</v>
      </c>
    </row>
    <row r="19" spans="1:262">
      <c r="A19" s="233" t="s">
        <v>353</v>
      </c>
      <c r="B19" s="242">
        <v>0</v>
      </c>
      <c r="C19" s="118">
        <f t="shared" si="7"/>
        <v>0</v>
      </c>
      <c r="D19" s="246">
        <v>10</v>
      </c>
      <c r="E19" s="387">
        <v>0</v>
      </c>
      <c r="F19" s="8">
        <f t="shared" si="4"/>
        <v>0</v>
      </c>
      <c r="G19" s="8">
        <f t="shared" si="5"/>
        <v>0</v>
      </c>
      <c r="H19" s="386" t="e">
        <f>SUM(B19)/#REF!</f>
        <v>#REF!</v>
      </c>
      <c r="I19" s="386">
        <v>82</v>
      </c>
      <c r="J19" s="386">
        <v>6.3000000000000003E-4</v>
      </c>
      <c r="K19" s="386">
        <v>1.9E-3</v>
      </c>
      <c r="L19" s="386">
        <f t="shared" si="6"/>
        <v>82.521140000000003</v>
      </c>
      <c r="M19" s="386">
        <f t="shared" si="2"/>
        <v>0</v>
      </c>
      <c r="N19" s="8">
        <f t="shared" si="8"/>
        <v>0</v>
      </c>
      <c r="P19" s="99"/>
      <c r="Q19" s="112">
        <f t="shared" si="9"/>
        <v>400</v>
      </c>
      <c r="R19" s="178">
        <f t="shared" si="10"/>
        <v>400</v>
      </c>
      <c r="S19" s="31">
        <v>400</v>
      </c>
      <c r="U19" t="s">
        <v>167</v>
      </c>
      <c r="V19">
        <v>68</v>
      </c>
      <c r="W19">
        <f>28/1000*68</f>
        <v>1.9040000000000001</v>
      </c>
      <c r="X19" s="90">
        <v>0.25</v>
      </c>
      <c r="Y19" s="101">
        <f t="shared" si="11"/>
        <v>2538.666666666667</v>
      </c>
    </row>
    <row r="20" spans="1:262">
      <c r="A20" s="233" t="s">
        <v>354</v>
      </c>
      <c r="B20" s="242">
        <v>0</v>
      </c>
      <c r="C20" s="118">
        <f t="shared" si="7"/>
        <v>0</v>
      </c>
      <c r="D20" s="246">
        <v>10</v>
      </c>
      <c r="E20" s="387">
        <v>0</v>
      </c>
      <c r="F20" s="8">
        <f t="shared" si="4"/>
        <v>0</v>
      </c>
      <c r="G20" s="8">
        <f t="shared" si="5"/>
        <v>0</v>
      </c>
      <c r="H20" s="386" t="e">
        <f>SUM(B20)/#REF!</f>
        <v>#REF!</v>
      </c>
      <c r="I20" s="386">
        <v>82</v>
      </c>
      <c r="J20" s="386">
        <v>6.3000000000000003E-4</v>
      </c>
      <c r="K20" s="386">
        <v>1.9E-3</v>
      </c>
      <c r="L20" s="386">
        <f t="shared" si="6"/>
        <v>82.521140000000003</v>
      </c>
      <c r="M20" s="386">
        <f t="shared" si="2"/>
        <v>0</v>
      </c>
      <c r="N20" s="8">
        <f t="shared" si="8"/>
        <v>0</v>
      </c>
      <c r="P20" s="99"/>
      <c r="Q20" s="112">
        <f t="shared" si="9"/>
        <v>1000</v>
      </c>
      <c r="R20" s="178">
        <f t="shared" si="10"/>
        <v>111.11111111111111</v>
      </c>
      <c r="S20" s="31">
        <v>1000</v>
      </c>
      <c r="U20" t="s">
        <v>168</v>
      </c>
      <c r="V20">
        <v>40</v>
      </c>
      <c r="W20">
        <f>10/1000*40</f>
        <v>0.4</v>
      </c>
      <c r="X20" s="90">
        <v>0.5</v>
      </c>
      <c r="Y20" s="101">
        <f t="shared" si="11"/>
        <v>800</v>
      </c>
    </row>
    <row r="21" spans="1:262">
      <c r="A21" s="233" t="s">
        <v>348</v>
      </c>
      <c r="B21" s="242">
        <v>0</v>
      </c>
      <c r="C21" s="118">
        <f t="shared" si="7"/>
        <v>0</v>
      </c>
      <c r="D21" s="246">
        <v>10</v>
      </c>
      <c r="E21" s="387">
        <v>0</v>
      </c>
      <c r="F21" s="8">
        <f t="shared" si="4"/>
        <v>0</v>
      </c>
      <c r="G21" s="8">
        <f t="shared" si="5"/>
        <v>0</v>
      </c>
      <c r="H21" s="386" t="e">
        <f>SUM(B21)/#REF!</f>
        <v>#REF!</v>
      </c>
      <c r="I21" s="386">
        <v>82</v>
      </c>
      <c r="J21" s="386">
        <v>6.3000000000000003E-4</v>
      </c>
      <c r="K21" s="386">
        <v>1.9E-3</v>
      </c>
      <c r="L21" s="386">
        <f t="shared" si="6"/>
        <v>82.521140000000003</v>
      </c>
      <c r="M21" s="386">
        <f t="shared" si="2"/>
        <v>0</v>
      </c>
      <c r="N21" s="8">
        <f t="shared" si="8"/>
        <v>0</v>
      </c>
      <c r="P21" s="99"/>
      <c r="Q21" s="112">
        <f t="shared" si="9"/>
        <v>1852.5</v>
      </c>
      <c r="R21" s="178">
        <f t="shared" si="10"/>
        <v>0</v>
      </c>
      <c r="S21" s="31">
        <v>1852.5</v>
      </c>
      <c r="U21" t="s">
        <v>169</v>
      </c>
      <c r="V21">
        <v>100</v>
      </c>
      <c r="W21">
        <f>10/1000*100</f>
        <v>1</v>
      </c>
      <c r="X21" s="90">
        <v>0.1</v>
      </c>
      <c r="Y21" s="101">
        <f t="shared" si="11"/>
        <v>1111.1111111111111</v>
      </c>
    </row>
    <row r="22" spans="1:262">
      <c r="A22" s="233" t="s">
        <v>355</v>
      </c>
      <c r="B22" s="242">
        <v>0</v>
      </c>
      <c r="C22" s="118">
        <f t="shared" si="7"/>
        <v>0</v>
      </c>
      <c r="D22" s="246">
        <v>10</v>
      </c>
      <c r="E22" s="387">
        <v>0</v>
      </c>
      <c r="F22" s="8">
        <f t="shared" si="4"/>
        <v>0</v>
      </c>
      <c r="G22" s="8">
        <f t="shared" si="5"/>
        <v>0</v>
      </c>
      <c r="H22" s="386" t="e">
        <f>SUM(B22)/#REF!</f>
        <v>#REF!</v>
      </c>
      <c r="I22" s="386">
        <v>82</v>
      </c>
      <c r="J22" s="386">
        <v>6.3000000000000003E-4</v>
      </c>
      <c r="K22" s="386">
        <v>1.9E-3</v>
      </c>
      <c r="L22" s="386">
        <f t="shared" si="6"/>
        <v>82.521140000000003</v>
      </c>
      <c r="M22" s="386">
        <f t="shared" si="2"/>
        <v>0</v>
      </c>
      <c r="N22" s="8">
        <f t="shared" si="8"/>
        <v>0</v>
      </c>
      <c r="P22" s="99"/>
      <c r="Q22" s="112">
        <f t="shared" si="9"/>
        <v>1170</v>
      </c>
      <c r="R22" s="178">
        <f t="shared" si="10"/>
        <v>0</v>
      </c>
      <c r="S22" s="31">
        <v>1170</v>
      </c>
      <c r="U22" t="s">
        <v>171</v>
      </c>
      <c r="V22">
        <v>74.099999999999994</v>
      </c>
      <c r="W22">
        <f>25/1000*74.1</f>
        <v>1.8525</v>
      </c>
      <c r="X22" s="90">
        <v>0</v>
      </c>
      <c r="Y22" s="101">
        <f t="shared" si="11"/>
        <v>1852.5</v>
      </c>
    </row>
    <row r="23" spans="1:262">
      <c r="A23" s="233" t="s">
        <v>356</v>
      </c>
      <c r="B23" s="242">
        <v>0</v>
      </c>
      <c r="C23" s="118">
        <f t="shared" si="7"/>
        <v>0</v>
      </c>
      <c r="D23" s="246">
        <v>10</v>
      </c>
      <c r="E23" s="387">
        <v>0</v>
      </c>
      <c r="F23" s="8">
        <f t="shared" si="4"/>
        <v>0</v>
      </c>
      <c r="G23" s="8">
        <f t="shared" si="5"/>
        <v>0</v>
      </c>
      <c r="H23" s="386" t="e">
        <f>SUM(B23)/#REF!</f>
        <v>#REF!</v>
      </c>
      <c r="I23" s="386">
        <v>82</v>
      </c>
      <c r="J23" s="386">
        <v>6.3000000000000003E-4</v>
      </c>
      <c r="K23" s="386">
        <v>1.9E-3</v>
      </c>
      <c r="L23" s="386">
        <f t="shared" si="6"/>
        <v>82.521140000000003</v>
      </c>
      <c r="M23" s="386">
        <f t="shared" si="2"/>
        <v>0</v>
      </c>
      <c r="N23" s="8">
        <f t="shared" si="8"/>
        <v>0</v>
      </c>
      <c r="P23" s="99"/>
      <c r="Q23" s="112">
        <f t="shared" si="9"/>
        <v>1125</v>
      </c>
      <c r="R23" s="178">
        <f>Z24*Y24</f>
        <v>0</v>
      </c>
      <c r="S23" s="31">
        <v>1125</v>
      </c>
      <c r="U23" t="s">
        <v>152</v>
      </c>
      <c r="V23">
        <v>117</v>
      </c>
      <c r="W23">
        <f>10/1000*117</f>
        <v>1.17</v>
      </c>
      <c r="X23" s="90">
        <v>0</v>
      </c>
      <c r="Y23" s="101">
        <f t="shared" si="11"/>
        <v>1170</v>
      </c>
    </row>
    <row r="24" spans="1:262">
      <c r="A24" s="192"/>
      <c r="V24" t="s">
        <v>173</v>
      </c>
      <c r="W24">
        <v>75</v>
      </c>
      <c r="X24">
        <f>15/1000*75</f>
        <v>1.125</v>
      </c>
      <c r="Y24" s="90">
        <v>0</v>
      </c>
      <c r="Z24" s="101">
        <f>S23/(1-Y24)</f>
        <v>1125</v>
      </c>
    </row>
    <row r="25" spans="1:262">
      <c r="A25" s="80"/>
      <c r="O25" s="72"/>
      <c r="R25" s="26"/>
      <c r="Z25" s="101">
        <f>D24/(1-Y25)</f>
        <v>0</v>
      </c>
    </row>
    <row r="26" spans="1:262">
      <c r="A26" s="245"/>
    </row>
    <row r="27" spans="1:262" ht="13.8" thickBot="1">
      <c r="T27" s="26"/>
    </row>
    <row r="28" spans="1:262" s="26" customFormat="1" ht="13.8" thickBot="1">
      <c r="A28" s="493" t="s">
        <v>345</v>
      </c>
      <c r="B28" s="494"/>
      <c r="C28" s="495" t="s">
        <v>646</v>
      </c>
      <c r="D28" s="496">
        <f>SUM(C6:C23)</f>
        <v>0</v>
      </c>
      <c r="X28" s="53"/>
      <c r="AF28" s="53"/>
      <c r="AN28" s="53"/>
      <c r="AV28" s="53"/>
      <c r="BD28" s="53"/>
      <c r="BL28" s="53"/>
      <c r="BT28" s="53"/>
      <c r="CB28" s="53"/>
      <c r="CJ28" s="53"/>
      <c r="CR28" s="53"/>
      <c r="CZ28" s="53"/>
      <c r="DH28" s="53"/>
      <c r="DP28" s="53"/>
      <c r="DX28" s="53"/>
      <c r="EF28" s="53"/>
      <c r="EN28" s="53"/>
      <c r="EV28" s="53"/>
      <c r="FD28" s="53"/>
      <c r="FL28" s="53"/>
      <c r="FT28" s="53"/>
      <c r="GB28" s="53"/>
      <c r="GJ28" s="53"/>
      <c r="GR28" s="53"/>
      <c r="GZ28" s="53"/>
      <c r="HH28" s="53"/>
      <c r="HP28" s="53"/>
      <c r="HX28" s="53"/>
      <c r="IF28" s="53"/>
      <c r="IN28" s="53"/>
      <c r="IV28" s="53"/>
    </row>
    <row r="29" spans="1:262" s="26" customFormat="1" ht="16.2" thickBot="1">
      <c r="A29" s="131"/>
      <c r="B29" s="500"/>
      <c r="C29" s="498" t="s">
        <v>645</v>
      </c>
      <c r="D29" s="499">
        <f>SUM(F6:F23)</f>
        <v>0</v>
      </c>
      <c r="E29" s="52" t="s">
        <v>9</v>
      </c>
      <c r="H29" s="22"/>
      <c r="I29" s="22"/>
      <c r="J29" s="22"/>
      <c r="K29" s="22"/>
      <c r="L29" s="22"/>
      <c r="M29" s="22"/>
      <c r="N29" s="22"/>
      <c r="O29" s="22"/>
    </row>
    <row r="30" spans="1:262" s="26" customFormat="1" ht="13.8" thickBot="1">
      <c r="B30" s="190"/>
      <c r="C30" s="497"/>
      <c r="D30" s="497"/>
      <c r="E30" s="22"/>
      <c r="H30" s="22"/>
      <c r="I30" s="22"/>
      <c r="J30" s="22"/>
      <c r="K30" s="22"/>
      <c r="L30" s="22"/>
      <c r="M30" s="22"/>
      <c r="V30" s="110" t="s">
        <v>246</v>
      </c>
      <c r="W30" s="110" t="s">
        <v>247</v>
      </c>
      <c r="Y30" s="22"/>
      <c r="Z30" s="54"/>
      <c r="AA30" s="22"/>
      <c r="AB30" s="55"/>
      <c r="AC30" s="22"/>
      <c r="AD30" s="22"/>
      <c r="AG30" s="22"/>
      <c r="AH30" s="54"/>
      <c r="AI30" s="22"/>
      <c r="AJ30" s="55"/>
      <c r="AK30" s="22"/>
      <c r="AL30" s="22"/>
      <c r="AO30" s="22"/>
      <c r="AP30" s="54"/>
      <c r="AQ30" s="22"/>
      <c r="AR30" s="55"/>
      <c r="AS30" s="22"/>
      <c r="AT30" s="22"/>
      <c r="AW30" s="22"/>
      <c r="AX30" s="54"/>
      <c r="AY30" s="22"/>
      <c r="AZ30" s="55"/>
      <c r="BA30" s="22"/>
      <c r="BB30" s="22"/>
      <c r="BE30" s="22"/>
      <c r="BF30" s="54"/>
      <c r="BG30" s="22"/>
      <c r="BH30" s="55"/>
      <c r="BI30" s="22"/>
      <c r="BJ30" s="22"/>
      <c r="BM30" s="22"/>
      <c r="BN30" s="54"/>
      <c r="BO30" s="22"/>
      <c r="BP30" s="55"/>
      <c r="BQ30" s="22"/>
      <c r="BR30" s="22"/>
      <c r="BU30" s="22"/>
      <c r="BV30" s="54"/>
      <c r="BW30" s="22"/>
      <c r="BX30" s="55"/>
      <c r="BY30" s="22"/>
      <c r="BZ30" s="22"/>
      <c r="CC30" s="22"/>
      <c r="CD30" s="54"/>
      <c r="CE30" s="22"/>
      <c r="CF30" s="55"/>
      <c r="CG30" s="22"/>
      <c r="CH30" s="22"/>
      <c r="CK30" s="22"/>
      <c r="CL30" s="54"/>
      <c r="CM30" s="22"/>
      <c r="CN30" s="55"/>
      <c r="CO30" s="22"/>
      <c r="CP30" s="22"/>
      <c r="CS30" s="22"/>
      <c r="CT30" s="54"/>
      <c r="CU30" s="22"/>
      <c r="CV30" s="55"/>
      <c r="CW30" s="22"/>
      <c r="CX30" s="22"/>
      <c r="DA30" s="22"/>
      <c r="DB30" s="54"/>
      <c r="DC30" s="22"/>
      <c r="DD30" s="55"/>
      <c r="DE30" s="22"/>
      <c r="DF30" s="22"/>
      <c r="DI30" s="22"/>
      <c r="DJ30" s="54"/>
      <c r="DK30" s="22"/>
      <c r="DL30" s="55"/>
      <c r="DM30" s="22"/>
      <c r="DN30" s="22"/>
      <c r="DQ30" s="22"/>
      <c r="DR30" s="54"/>
      <c r="DS30" s="22"/>
      <c r="DT30" s="55"/>
      <c r="DU30" s="22"/>
      <c r="DV30" s="22"/>
      <c r="DY30" s="22"/>
      <c r="DZ30" s="54"/>
      <c r="EA30" s="22"/>
      <c r="EB30" s="55"/>
      <c r="EC30" s="22"/>
      <c r="ED30" s="22"/>
      <c r="EG30" s="22"/>
      <c r="EH30" s="54"/>
      <c r="EI30" s="22"/>
      <c r="EJ30" s="55"/>
      <c r="EK30" s="22"/>
      <c r="EL30" s="22"/>
      <c r="EO30" s="22"/>
      <c r="EP30" s="54"/>
      <c r="EQ30" s="22"/>
      <c r="ER30" s="55"/>
      <c r="ES30" s="22"/>
      <c r="ET30" s="22"/>
      <c r="EW30" s="22"/>
      <c r="EX30" s="54"/>
      <c r="EY30" s="22"/>
      <c r="EZ30" s="55"/>
      <c r="FA30" s="22"/>
      <c r="FB30" s="22"/>
      <c r="FE30" s="22"/>
      <c r="FF30" s="54"/>
      <c r="FG30" s="22"/>
      <c r="FH30" s="55"/>
      <c r="FI30" s="22"/>
      <c r="FJ30" s="22"/>
      <c r="FM30" s="22"/>
      <c r="FN30" s="54"/>
      <c r="FO30" s="22"/>
      <c r="FP30" s="55"/>
      <c r="FQ30" s="22"/>
      <c r="FR30" s="22"/>
      <c r="FU30" s="22"/>
      <c r="FV30" s="54"/>
      <c r="FW30" s="22"/>
      <c r="FX30" s="55"/>
      <c r="FY30" s="22"/>
      <c r="FZ30" s="22"/>
      <c r="GC30" s="22"/>
      <c r="GD30" s="54"/>
      <c r="GE30" s="22"/>
      <c r="GF30" s="55"/>
      <c r="GG30" s="22"/>
      <c r="GH30" s="22"/>
      <c r="GK30" s="22"/>
      <c r="GL30" s="54"/>
      <c r="GM30" s="22"/>
      <c r="GN30" s="55"/>
      <c r="GO30" s="22"/>
      <c r="GP30" s="22"/>
      <c r="GS30" s="22"/>
      <c r="GT30" s="54"/>
      <c r="GU30" s="22"/>
      <c r="GV30" s="55"/>
      <c r="GW30" s="22"/>
      <c r="GX30" s="22"/>
      <c r="HA30" s="22"/>
      <c r="HB30" s="54"/>
      <c r="HC30" s="22"/>
      <c r="HD30" s="55"/>
      <c r="HE30" s="22"/>
      <c r="HF30" s="22"/>
      <c r="HI30" s="22"/>
      <c r="HJ30" s="54"/>
      <c r="HK30" s="22"/>
      <c r="HL30" s="55"/>
      <c r="HM30" s="22"/>
      <c r="HN30" s="22"/>
      <c r="HQ30" s="22"/>
      <c r="HR30" s="54"/>
      <c r="HS30" s="22"/>
      <c r="HT30" s="55"/>
      <c r="HU30" s="22"/>
      <c r="HV30" s="22"/>
      <c r="HY30" s="22"/>
      <c r="HZ30" s="54"/>
      <c r="IA30" s="22"/>
      <c r="IB30" s="55"/>
      <c r="IC30" s="22"/>
      <c r="ID30" s="22"/>
      <c r="IG30" s="22"/>
      <c r="IH30" s="54"/>
      <c r="II30" s="22"/>
      <c r="IJ30" s="55"/>
      <c r="IK30" s="22"/>
      <c r="IL30" s="22"/>
      <c r="IO30" s="22"/>
      <c r="IP30" s="54"/>
      <c r="IQ30" s="22"/>
      <c r="IR30" s="55"/>
      <c r="IS30" s="22"/>
      <c r="IT30" s="22"/>
      <c r="IW30" s="22"/>
      <c r="IX30" s="54"/>
      <c r="IY30" s="22"/>
      <c r="IZ30" s="55"/>
      <c r="JA30" s="22"/>
      <c r="JB30" s="22"/>
    </row>
    <row r="31" spans="1:262" s="26" customFormat="1" ht="21.6" thickBot="1">
      <c r="A31" s="187" t="s">
        <v>59</v>
      </c>
      <c r="B31" s="188"/>
      <c r="C31" s="189">
        <f>D28+D29</f>
        <v>0</v>
      </c>
      <c r="D31" s="191" t="s">
        <v>378</v>
      </c>
      <c r="E31" s="99"/>
      <c r="H31" s="99"/>
      <c r="I31" s="99"/>
      <c r="J31" s="99"/>
      <c r="K31" s="99"/>
      <c r="L31" s="99"/>
      <c r="M31" s="99"/>
      <c r="N31"/>
      <c r="O31"/>
      <c r="P31" s="22"/>
      <c r="Q31" s="22"/>
      <c r="V31" s="26">
        <v>29</v>
      </c>
      <c r="W31" s="111">
        <v>0.55642999999999998</v>
      </c>
      <c r="AF31" s="22"/>
      <c r="AN31" s="22"/>
      <c r="AV31" s="22"/>
      <c r="BD31" s="22"/>
      <c r="BL31" s="22"/>
      <c r="BT31" s="22"/>
      <c r="CB31" s="22"/>
      <c r="CJ31" s="22"/>
      <c r="CR31" s="22"/>
      <c r="CZ31" s="22"/>
      <c r="DH31" s="22"/>
      <c r="DP31" s="22"/>
      <c r="DX31" s="22"/>
      <c r="EF31" s="22"/>
      <c r="EN31" s="22"/>
      <c r="EV31" s="22"/>
      <c r="FD31" s="22"/>
      <c r="FL31" s="22"/>
      <c r="FT31" s="22"/>
      <c r="GB31" s="22"/>
      <c r="GJ31" s="22"/>
      <c r="GR31" s="22"/>
      <c r="GZ31" s="22"/>
      <c r="HH31" s="22"/>
      <c r="HP31" s="22"/>
      <c r="HX31" s="22"/>
      <c r="IF31" s="22"/>
      <c r="IN31" s="22"/>
      <c r="IV31" s="22"/>
    </row>
    <row r="32" spans="1:262" s="26" customFormat="1">
      <c r="W32"/>
      <c r="AF32" s="22"/>
      <c r="AN32" s="22"/>
      <c r="AV32" s="22"/>
      <c r="BD32" s="22"/>
      <c r="BL32" s="22"/>
      <c r="BT32" s="22"/>
      <c r="CB32" s="22"/>
      <c r="CJ32" s="22"/>
      <c r="CR32" s="22"/>
      <c r="CZ32" s="22"/>
      <c r="DH32" s="22"/>
      <c r="DP32" s="22"/>
      <c r="DX32" s="22"/>
      <c r="EF32" s="22"/>
      <c r="EN32" s="22"/>
      <c r="EV32" s="22"/>
      <c r="FD32" s="22"/>
      <c r="FL32" s="22"/>
      <c r="FT32" s="22"/>
      <c r="GB32" s="22"/>
      <c r="GJ32" s="22"/>
      <c r="GR32" s="22"/>
      <c r="GZ32" s="22"/>
      <c r="HH32" s="22"/>
      <c r="HP32" s="22"/>
      <c r="HX32" s="22"/>
      <c r="IF32" s="22"/>
      <c r="IN32" s="22"/>
      <c r="IV32" s="22"/>
    </row>
    <row r="33" spans="1:263" s="26" customFormat="1"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  <c r="IW33" s="22"/>
      <c r="IX33" s="22"/>
      <c r="IY33" s="22"/>
      <c r="IZ33" s="22"/>
      <c r="JA33" s="22"/>
      <c r="JB33" s="22"/>
      <c r="JC33" s="22"/>
    </row>
    <row r="34" spans="1:263" s="26" customFormat="1">
      <c r="A34" t="s">
        <v>27</v>
      </c>
      <c r="B34"/>
      <c r="C34"/>
      <c r="D34"/>
      <c r="E34"/>
      <c r="H34"/>
      <c r="I34"/>
      <c r="J34"/>
      <c r="K34"/>
      <c r="L34"/>
      <c r="M34"/>
      <c r="N34"/>
      <c r="O34"/>
      <c r="P34"/>
      <c r="Q34"/>
      <c r="R34" s="56"/>
      <c r="S34" s="22"/>
    </row>
    <row r="35" spans="1:263" s="26" customFormat="1">
      <c r="A35" s="80" t="s">
        <v>434</v>
      </c>
      <c r="B35"/>
      <c r="C35"/>
      <c r="D35"/>
      <c r="E35"/>
      <c r="H35"/>
      <c r="I35"/>
      <c r="J35"/>
      <c r="K35"/>
      <c r="L35"/>
      <c r="M35"/>
      <c r="N35"/>
      <c r="O35"/>
      <c r="P35"/>
      <c r="Q35"/>
      <c r="R35"/>
      <c r="S35"/>
      <c r="T35"/>
      <c r="X35" s="22"/>
      <c r="Y35" s="22"/>
      <c r="Z35" s="56"/>
      <c r="AA35" s="22"/>
      <c r="AF35" s="22"/>
      <c r="AG35" s="22"/>
      <c r="AH35" s="56"/>
      <c r="AI35" s="22"/>
      <c r="AN35" s="22"/>
      <c r="AO35" s="22"/>
      <c r="AP35" s="56"/>
      <c r="AQ35" s="22"/>
      <c r="AV35" s="22"/>
      <c r="AW35" s="22"/>
      <c r="AX35" s="56"/>
      <c r="AY35" s="22"/>
      <c r="BD35" s="22"/>
      <c r="BE35" s="22"/>
      <c r="BF35" s="56"/>
      <c r="BG35" s="22"/>
      <c r="BL35" s="22"/>
      <c r="BM35" s="22"/>
      <c r="BN35" s="56"/>
      <c r="BO35" s="22"/>
      <c r="BT35" s="22"/>
      <c r="BU35" s="22"/>
      <c r="BV35" s="56"/>
      <c r="BW35" s="22"/>
      <c r="CB35" s="22"/>
      <c r="CC35" s="22"/>
      <c r="CD35" s="56"/>
      <c r="CE35" s="22"/>
      <c r="CJ35" s="22"/>
      <c r="CK35" s="22"/>
      <c r="CL35" s="56"/>
      <c r="CM35" s="22"/>
      <c r="CR35" s="22"/>
      <c r="CS35" s="22"/>
      <c r="CT35" s="56"/>
      <c r="CU35" s="22"/>
      <c r="CZ35" s="22"/>
      <c r="DA35" s="22"/>
      <c r="DB35" s="56"/>
      <c r="DC35" s="22"/>
      <c r="DH35" s="22"/>
      <c r="DI35" s="22"/>
      <c r="DJ35" s="56"/>
      <c r="DK35" s="22"/>
      <c r="DP35" s="22"/>
      <c r="DQ35" s="22"/>
      <c r="DR35" s="56"/>
      <c r="DS35" s="22"/>
      <c r="DX35" s="22"/>
      <c r="DY35" s="22"/>
      <c r="DZ35" s="56"/>
      <c r="EA35" s="22"/>
      <c r="EF35" s="22"/>
      <c r="EG35" s="22"/>
      <c r="EH35" s="56"/>
      <c r="EI35" s="22"/>
      <c r="EN35" s="22"/>
      <c r="EO35" s="22"/>
      <c r="EP35" s="56"/>
      <c r="EQ35" s="22"/>
      <c r="EV35" s="22"/>
      <c r="EW35" s="22"/>
      <c r="EX35" s="56"/>
      <c r="EY35" s="22"/>
      <c r="FD35" s="22"/>
      <c r="FE35" s="22"/>
      <c r="FF35" s="56"/>
      <c r="FG35" s="22"/>
      <c r="FL35" s="22"/>
      <c r="FM35" s="22"/>
      <c r="FN35" s="56"/>
      <c r="FO35" s="22"/>
      <c r="FT35" s="22"/>
      <c r="FU35" s="22"/>
      <c r="FV35" s="56"/>
      <c r="FW35" s="22"/>
      <c r="GB35" s="22"/>
      <c r="GC35" s="22"/>
      <c r="GD35" s="56"/>
      <c r="GE35" s="22"/>
      <c r="GJ35" s="22"/>
      <c r="GK35" s="22"/>
      <c r="GL35" s="56"/>
      <c r="GM35" s="22"/>
      <c r="GR35" s="22"/>
      <c r="GS35" s="22"/>
      <c r="GT35" s="56"/>
      <c r="GU35" s="22"/>
      <c r="GZ35" s="22"/>
      <c r="HA35" s="22"/>
      <c r="HB35" s="56"/>
      <c r="HC35" s="22"/>
      <c r="HH35" s="22"/>
      <c r="HI35" s="22"/>
      <c r="HJ35" s="56"/>
      <c r="HK35" s="22"/>
      <c r="HP35" s="22"/>
      <c r="HQ35" s="22"/>
      <c r="HR35" s="56"/>
      <c r="HS35" s="22"/>
      <c r="HX35" s="22"/>
      <c r="HY35" s="22"/>
      <c r="HZ35" s="56"/>
      <c r="IA35" s="22"/>
      <c r="IF35" s="22"/>
      <c r="IG35" s="22"/>
      <c r="IH35" s="56"/>
      <c r="II35" s="22"/>
      <c r="IN35" s="22"/>
      <c r="IO35" s="22"/>
      <c r="IP35" s="56"/>
      <c r="IQ35" s="22"/>
      <c r="IV35" s="22"/>
      <c r="IW35" s="22"/>
      <c r="IX35" s="56"/>
      <c r="IY35" s="22"/>
    </row>
    <row r="37" spans="1:263">
      <c r="A37" t="s">
        <v>6</v>
      </c>
    </row>
    <row r="38" spans="1:263" ht="15.6">
      <c r="A38" s="114" t="s">
        <v>357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3" ht="16.2">
      <c r="A39" s="117" t="s">
        <v>253</v>
      </c>
      <c r="B39" s="114"/>
      <c r="C39" s="114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3" ht="16.2">
      <c r="A40" s="114" t="s">
        <v>252</v>
      </c>
      <c r="B40" s="117"/>
      <c r="C40" s="117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3" ht="16.2">
      <c r="A41" s="117" t="s">
        <v>254</v>
      </c>
      <c r="B41" s="114"/>
      <c r="C41" s="114"/>
      <c r="P41" s="25"/>
      <c r="Q41" s="153"/>
      <c r="R41" s="25"/>
      <c r="S41" s="25"/>
      <c r="T41" s="25"/>
      <c r="U41" s="25"/>
      <c r="V41" s="25"/>
      <c r="W41" s="25"/>
      <c r="X41" s="25"/>
      <c r="Y41" s="25"/>
      <c r="Z41" s="25"/>
    </row>
    <row r="42" spans="1:263" ht="14.4">
      <c r="A42" s="114"/>
      <c r="B42" s="114"/>
      <c r="C42" s="114"/>
      <c r="D42" s="114"/>
      <c r="E42" s="114"/>
      <c r="H42" s="114"/>
      <c r="I42" s="114"/>
      <c r="J42" s="114"/>
      <c r="K42" s="114"/>
      <c r="L42" s="114"/>
      <c r="M42" s="114"/>
      <c r="N42" s="114"/>
      <c r="O42" s="114"/>
      <c r="P42" s="114"/>
      <c r="Q42" s="116"/>
      <c r="R42" s="25"/>
      <c r="S42" s="25"/>
      <c r="T42" s="25"/>
      <c r="U42" s="25"/>
      <c r="V42" s="25"/>
      <c r="W42" s="25"/>
      <c r="X42" s="25"/>
      <c r="Y42" s="25"/>
      <c r="Z42" s="25"/>
    </row>
    <row r="43" spans="1:263" ht="14.4">
      <c r="A43" s="114" t="s">
        <v>368</v>
      </c>
      <c r="B43" s="114"/>
      <c r="C43" s="114"/>
      <c r="D43" s="117"/>
      <c r="E43" s="117"/>
      <c r="H43" s="117"/>
      <c r="I43" s="117"/>
      <c r="J43" s="117"/>
      <c r="K43" s="117"/>
      <c r="L43" s="117"/>
      <c r="M43" s="117"/>
      <c r="N43" s="117"/>
      <c r="O43" s="117"/>
      <c r="P43" s="117"/>
      <c r="Q43" s="114"/>
      <c r="R43" s="154"/>
      <c r="S43" s="154"/>
      <c r="T43" s="154"/>
      <c r="U43" s="25"/>
      <c r="V43" s="25"/>
      <c r="W43" s="25"/>
      <c r="X43" s="25"/>
      <c r="Y43" s="25"/>
      <c r="Z43" s="25"/>
    </row>
    <row r="44" spans="1:263" ht="14.4">
      <c r="A44" s="155" t="s">
        <v>366</v>
      </c>
      <c r="B44" s="114"/>
      <c r="C44" s="114"/>
      <c r="D44" s="114"/>
      <c r="E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25"/>
      <c r="S44" s="25"/>
      <c r="T44" s="25"/>
      <c r="U44" s="154"/>
      <c r="V44" s="154"/>
      <c r="W44" s="154"/>
      <c r="X44" s="154"/>
      <c r="Y44" s="154"/>
      <c r="Z44" s="154"/>
      <c r="AA44" s="88"/>
      <c r="AC44" s="154"/>
      <c r="AD44" s="154"/>
    </row>
    <row r="45" spans="1:263">
      <c r="A45" s="155" t="s">
        <v>346</v>
      </c>
      <c r="B45" s="114"/>
      <c r="C45" s="114"/>
      <c r="D45" s="114"/>
      <c r="E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25"/>
      <c r="S45" s="25"/>
      <c r="T45" s="25"/>
      <c r="U45" s="25"/>
      <c r="V45" s="25"/>
      <c r="W45" s="25"/>
      <c r="X45" s="25"/>
      <c r="Y45" s="25"/>
      <c r="Z45" s="25"/>
    </row>
    <row r="46" spans="1:263">
      <c r="A46" s="155" t="s">
        <v>367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</row>
    <row r="47" spans="1:263">
      <c r="A47" s="155" t="s">
        <v>365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</row>
    <row r="48" spans="1:263">
      <c r="A48" s="155" t="s">
        <v>347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</row>
    <row r="49" spans="1:17">
      <c r="A49" s="155" t="s">
        <v>370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</row>
    <row r="50" spans="1:17">
      <c r="A50" s="155" t="s">
        <v>369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</row>
    <row r="51" spans="1:17">
      <c r="A51" s="155" t="s">
        <v>358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</row>
    <row r="52" spans="1:17"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</row>
    <row r="53" spans="1:17"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</row>
    <row r="54" spans="1:17"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</row>
    <row r="55" spans="1:17"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</row>
    <row r="56" spans="1:17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</row>
    <row r="57" spans="1:17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</row>
    <row r="58" spans="1:17" hidden="1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</row>
    <row r="59" spans="1:17" hidden="1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</row>
    <row r="60" spans="1:17" ht="15.6" hidden="1">
      <c r="A60" s="86" t="s">
        <v>126</v>
      </c>
      <c r="B60" s="86"/>
      <c r="C60" s="86"/>
      <c r="D60" s="86"/>
      <c r="E60" s="86"/>
      <c r="F60" s="3"/>
      <c r="G60" s="3"/>
      <c r="H60" s="3"/>
      <c r="I60" s="3"/>
      <c r="J60" s="3"/>
      <c r="K60" s="3"/>
      <c r="L60" s="3"/>
      <c r="M60" s="86"/>
      <c r="N60" s="86"/>
      <c r="O60" s="86"/>
      <c r="P60" s="86"/>
    </row>
    <row r="61" spans="1:17" ht="15.6" hidden="1">
      <c r="A61" s="89" t="s">
        <v>133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1:17" ht="16.8" hidden="1">
      <c r="A62" s="89" t="s">
        <v>134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1:17" hidden="1">
      <c r="A63" s="27" t="s">
        <v>24</v>
      </c>
    </row>
    <row r="64" spans="1:17" hidden="1"/>
    <row r="65" spans="1:14" hidden="1">
      <c r="B65" t="s">
        <v>144</v>
      </c>
    </row>
    <row r="66" spans="1:14" hidden="1">
      <c r="B66" t="s">
        <v>142</v>
      </c>
    </row>
    <row r="67" spans="1:14" hidden="1">
      <c r="A67" t="s">
        <v>141</v>
      </c>
      <c r="B67">
        <v>69</v>
      </c>
      <c r="C67" t="s">
        <v>143</v>
      </c>
    </row>
    <row r="68" spans="1:14" hidden="1">
      <c r="A68" t="s">
        <v>150</v>
      </c>
      <c r="B68">
        <v>410</v>
      </c>
      <c r="C68" t="s">
        <v>145</v>
      </c>
      <c r="D68" t="s">
        <v>153</v>
      </c>
    </row>
    <row r="69" spans="1:14" hidden="1">
      <c r="A69" t="s">
        <v>146</v>
      </c>
      <c r="B69">
        <v>60</v>
      </c>
      <c r="C69" t="s">
        <v>145</v>
      </c>
    </row>
    <row r="70" spans="1:14" hidden="1">
      <c r="A70" t="s">
        <v>149</v>
      </c>
      <c r="B70">
        <v>1050</v>
      </c>
      <c r="C70" t="s">
        <v>145</v>
      </c>
    </row>
    <row r="71" spans="1:14" hidden="1">
      <c r="A71" t="s">
        <v>147</v>
      </c>
      <c r="B71">
        <v>570</v>
      </c>
      <c r="C71" t="s">
        <v>145</v>
      </c>
    </row>
    <row r="72" spans="1:14" hidden="1">
      <c r="A72" t="s">
        <v>148</v>
      </c>
      <c r="B72">
        <v>70</v>
      </c>
      <c r="C72" t="s">
        <v>145</v>
      </c>
    </row>
    <row r="73" spans="1:14" hidden="1">
      <c r="A73" t="s">
        <v>151</v>
      </c>
      <c r="B73">
        <v>720</v>
      </c>
      <c r="C73" t="s">
        <v>145</v>
      </c>
    </row>
    <row r="74" spans="1:14" hidden="1">
      <c r="A74" t="s">
        <v>152</v>
      </c>
      <c r="B74">
        <v>1410</v>
      </c>
      <c r="C74" t="s">
        <v>145</v>
      </c>
    </row>
    <row r="75" spans="1:14" hidden="1">
      <c r="B75" t="s">
        <v>154</v>
      </c>
      <c r="C75" t="s">
        <v>155</v>
      </c>
    </row>
    <row r="76" spans="1:14" hidden="1"/>
    <row r="77" spans="1:14" hidden="1">
      <c r="B77" t="s">
        <v>157</v>
      </c>
      <c r="E77" t="s">
        <v>159</v>
      </c>
      <c r="M77" t="s">
        <v>161</v>
      </c>
    </row>
    <row r="78" spans="1:14" hidden="1"/>
    <row r="79" spans="1:14" hidden="1">
      <c r="M79">
        <v>10</v>
      </c>
      <c r="N79" t="s">
        <v>160</v>
      </c>
    </row>
    <row r="80" spans="1:14" hidden="1">
      <c r="M80">
        <f>10/1000</f>
        <v>0.01</v>
      </c>
    </row>
    <row r="81" spans="13:13" hidden="1">
      <c r="M81">
        <f>M80*117</f>
        <v>1.17</v>
      </c>
    </row>
    <row r="82" spans="13:13" hidden="1"/>
    <row r="83" spans="13:13" hidden="1"/>
    <row r="84" spans="13:13" hidden="1"/>
    <row r="85" spans="13:13" hidden="1"/>
    <row r="86" spans="13:13" hidden="1"/>
    <row r="87" spans="13:13" hidden="1"/>
    <row r="88" spans="13:13" hidden="1"/>
    <row r="89" spans="13:13" hidden="1"/>
    <row r="90" spans="13:13" hidden="1"/>
    <row r="91" spans="13:13" hidden="1"/>
    <row r="92" spans="13:13" hidden="1"/>
    <row r="93" spans="13:13" hidden="1"/>
    <row r="94" spans="13:13" hidden="1"/>
    <row r="95" spans="13:13" hidden="1"/>
    <row r="96" spans="13:13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</sheetData>
  <sheetProtection algorithmName="SHA-512" hashValue="FKAvx84XSQsUVFz1LLZsDSzgHNWSUssYQ6RoJGTuv95GZGfqua+UCWpcgn5HpwFp4+oKBwOEv1Y8wjX1lTQLaA==" saltValue="ocJcbA0dYyRefdCm9I5ykw==" spinCount="100000" sheet="1" objects="1" scenarios="1"/>
  <mergeCells count="1">
    <mergeCell ref="A2:B2"/>
  </mergeCells>
  <phoneticPr fontId="0" type="noConversion"/>
  <dataValidations count="1">
    <dataValidation type="decimal" allowBlank="1" showInputMessage="1" showErrorMessage="1" error="Jotain väliltä 0-100 %. Huomaa %-merkki, jos joudut korjaamaan._x000a_" sqref="E6:E13 E15:E23" xr:uid="{2D0B1CC6-432C-4397-AA3A-E7797702D63F}">
      <formula1>0</formula1>
      <formula2>1</formula2>
    </dataValidation>
  </dataValidations>
  <pageMargins left="0.75" right="0.75" top="1" bottom="1" header="0.4921259845" footer="0.492125984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W49"/>
  <sheetViews>
    <sheetView zoomScaleNormal="100" workbookViewId="0">
      <selection activeCell="I6" sqref="I6"/>
    </sheetView>
  </sheetViews>
  <sheetFormatPr defaultRowHeight="13.2"/>
  <cols>
    <col min="1" max="1" width="37.33203125" customWidth="1"/>
    <col min="2" max="2" width="18.44140625" customWidth="1"/>
    <col min="3" max="4" width="16.33203125" customWidth="1"/>
    <col min="5" max="5" width="15" customWidth="1"/>
    <col min="6" max="6" width="16.33203125" customWidth="1"/>
    <col min="7" max="7" width="14" customWidth="1"/>
    <col min="8" max="8" width="15.6640625" customWidth="1"/>
    <col min="9" max="9" width="16.6640625" customWidth="1"/>
    <col min="11" max="20" width="9.109375" hidden="1" customWidth="1"/>
  </cols>
  <sheetData>
    <row r="1" spans="1:23">
      <c r="A1" s="4" t="s">
        <v>28</v>
      </c>
      <c r="B1" s="4"/>
      <c r="C1" s="4"/>
      <c r="D1" s="4"/>
    </row>
    <row r="2" spans="1:23" ht="18" customHeight="1">
      <c r="A2" s="80" t="s">
        <v>419</v>
      </c>
      <c r="D2" s="80"/>
      <c r="F2" s="4"/>
      <c r="G2" s="4"/>
    </row>
    <row r="3" spans="1:23">
      <c r="A3" s="94" t="s">
        <v>436</v>
      </c>
      <c r="D3" s="80"/>
      <c r="F3" s="4"/>
      <c r="G3" s="4"/>
    </row>
    <row r="4" spans="1:23" ht="51" customHeight="1">
      <c r="A4" s="533" t="s">
        <v>669</v>
      </c>
      <c r="B4" s="533"/>
    </row>
    <row r="5" spans="1:23">
      <c r="A5" s="271" t="s">
        <v>632</v>
      </c>
    </row>
    <row r="6" spans="1:23" ht="70.8">
      <c r="A6" s="1" t="s">
        <v>4</v>
      </c>
      <c r="B6" s="4" t="s">
        <v>3</v>
      </c>
      <c r="C6" s="4" t="s">
        <v>438</v>
      </c>
      <c r="D6" s="4" t="s">
        <v>670</v>
      </c>
      <c r="E6" s="126" t="s">
        <v>549</v>
      </c>
      <c r="F6" s="126" t="s">
        <v>443</v>
      </c>
      <c r="M6" s="4" t="s">
        <v>293</v>
      </c>
      <c r="N6" s="128" t="s">
        <v>294</v>
      </c>
      <c r="O6" s="129" t="s">
        <v>297</v>
      </c>
      <c r="P6" s="129" t="s">
        <v>296</v>
      </c>
    </row>
    <row r="7" spans="1:23" ht="14.4">
      <c r="A7" s="2" t="s">
        <v>222</v>
      </c>
      <c r="B7" s="240">
        <v>0</v>
      </c>
      <c r="C7" s="205">
        <v>129.69999999999999</v>
      </c>
      <c r="D7" s="31">
        <f>C7*B7</f>
        <v>0</v>
      </c>
      <c r="E7" s="8">
        <f>D7/1000</f>
        <v>0</v>
      </c>
      <c r="F7" s="206">
        <f>M7*B7*N7</f>
        <v>0</v>
      </c>
      <c r="G7" s="100"/>
      <c r="M7" s="117">
        <f>O7/P7</f>
        <v>4.1166666666666671E-2</v>
      </c>
      <c r="N7" s="115">
        <v>0.50133000000000005</v>
      </c>
      <c r="O7" s="115">
        <v>14.82</v>
      </c>
      <c r="P7" s="115">
        <v>360</v>
      </c>
      <c r="T7" s="25"/>
      <c r="U7" s="25"/>
      <c r="V7" s="25"/>
      <c r="W7" s="25"/>
    </row>
    <row r="8" spans="1:23" ht="14.4">
      <c r="A8" s="2" t="s">
        <v>220</v>
      </c>
      <c r="B8" s="240">
        <v>0</v>
      </c>
      <c r="C8" s="205">
        <v>87.4</v>
      </c>
      <c r="D8" s="31">
        <f>C8*B8</f>
        <v>0</v>
      </c>
      <c r="E8" s="8">
        <f>D8/1000</f>
        <v>0</v>
      </c>
      <c r="F8" s="206">
        <f>M8*B8*N8</f>
        <v>0</v>
      </c>
      <c r="G8" s="100"/>
      <c r="M8" s="117">
        <f>O8/P8</f>
        <v>2.7747572815533979E-2</v>
      </c>
      <c r="N8" s="115">
        <v>0.50133000000000005</v>
      </c>
      <c r="O8" s="114">
        <v>14.29</v>
      </c>
      <c r="P8" s="25">
        <v>515</v>
      </c>
      <c r="T8" s="25"/>
      <c r="U8" s="25"/>
      <c r="V8" s="25"/>
      <c r="W8" s="25"/>
    </row>
    <row r="9" spans="1:23" ht="14.4">
      <c r="A9" s="2" t="s">
        <v>221</v>
      </c>
      <c r="B9" s="240">
        <v>0</v>
      </c>
      <c r="C9" s="205">
        <v>84.2</v>
      </c>
      <c r="D9" s="31">
        <f>C9*B9</f>
        <v>0</v>
      </c>
      <c r="E9" s="8">
        <f>D9/1000</f>
        <v>0</v>
      </c>
      <c r="F9" s="206">
        <f>M9*B9*N9</f>
        <v>0</v>
      </c>
      <c r="G9" s="100"/>
      <c r="M9" s="117">
        <f>O9/P9</f>
        <v>2.6736842105263156E-2</v>
      </c>
      <c r="N9" s="115">
        <v>0.50133000000000005</v>
      </c>
      <c r="O9">
        <v>50.8</v>
      </c>
      <c r="P9">
        <v>1900</v>
      </c>
      <c r="T9" s="25"/>
      <c r="U9" s="25"/>
      <c r="V9" s="25"/>
      <c r="W9" s="25"/>
    </row>
    <row r="10" spans="1:23" ht="14.4">
      <c r="A10" s="2" t="s">
        <v>196</v>
      </c>
      <c r="B10" s="240">
        <v>0</v>
      </c>
      <c r="C10" s="205">
        <v>59.1</v>
      </c>
      <c r="D10" s="31">
        <f>C10*B10</f>
        <v>0</v>
      </c>
      <c r="E10" s="8">
        <f>D10/1000</f>
        <v>0</v>
      </c>
      <c r="F10" s="206">
        <f>M10*B10*N10</f>
        <v>0</v>
      </c>
      <c r="G10" s="100"/>
      <c r="M10" s="117">
        <f>O10/P10</f>
        <v>1.8756529494203082E-2</v>
      </c>
      <c r="N10" s="115">
        <v>0.50133000000000005</v>
      </c>
      <c r="O10">
        <v>147.22</v>
      </c>
      <c r="P10" s="125">
        <v>7849</v>
      </c>
      <c r="T10" s="25"/>
      <c r="U10" s="25"/>
      <c r="V10" s="25"/>
      <c r="W10" s="25"/>
    </row>
    <row r="11" spans="1:23" ht="14.4">
      <c r="A11" s="2"/>
      <c r="D11" s="4" t="s">
        <v>377</v>
      </c>
      <c r="E11" s="20">
        <f>E10+E9+E8+E7</f>
        <v>0</v>
      </c>
      <c r="G11" s="100"/>
      <c r="K11" s="25"/>
      <c r="L11" s="25"/>
      <c r="M11" s="25"/>
      <c r="N11" s="25"/>
      <c r="R11" s="25"/>
      <c r="S11" s="25"/>
      <c r="T11" s="25"/>
      <c r="U11" s="25"/>
      <c r="V11" s="25"/>
      <c r="W11" s="25"/>
    </row>
    <row r="12" spans="1:23" ht="14.4">
      <c r="A12" s="2"/>
      <c r="B12" s="4"/>
      <c r="E12" s="235"/>
      <c r="G12" s="100"/>
      <c r="K12" s="25"/>
      <c r="L12" s="25"/>
      <c r="M12" s="25"/>
      <c r="N12" s="25"/>
      <c r="R12" s="25"/>
      <c r="S12" s="25"/>
      <c r="T12" s="25"/>
      <c r="U12" s="25"/>
      <c r="V12" s="25"/>
      <c r="W12" s="25"/>
    </row>
    <row r="13" spans="1:23" ht="14.4">
      <c r="A13" s="2"/>
      <c r="B13" s="94" t="s">
        <v>420</v>
      </c>
      <c r="C13" s="80"/>
      <c r="E13" s="4"/>
      <c r="F13" s="127"/>
      <c r="G13" s="100"/>
      <c r="H13" s="26"/>
      <c r="K13" s="25"/>
      <c r="L13" s="25"/>
      <c r="M13" s="25"/>
      <c r="N13" s="25"/>
      <c r="R13" s="25"/>
      <c r="S13" s="25"/>
      <c r="T13" s="25"/>
      <c r="U13" s="25"/>
      <c r="V13" s="25"/>
      <c r="W13" s="25"/>
    </row>
    <row r="14" spans="1:23" ht="97.2">
      <c r="A14" s="2"/>
      <c r="B14" s="4" t="s">
        <v>11</v>
      </c>
      <c r="C14" s="4" t="s">
        <v>305</v>
      </c>
      <c r="D14" s="4" t="s">
        <v>439</v>
      </c>
      <c r="E14" s="126" t="s">
        <v>549</v>
      </c>
      <c r="F14" s="126" t="s">
        <v>550</v>
      </c>
      <c r="G14" s="126" t="s">
        <v>622</v>
      </c>
      <c r="H14" s="126" t="s">
        <v>548</v>
      </c>
      <c r="K14" s="4" t="s">
        <v>12</v>
      </c>
      <c r="M14" s="80" t="s">
        <v>307</v>
      </c>
      <c r="N14" s="80" t="s">
        <v>304</v>
      </c>
      <c r="O14" s="4" t="s">
        <v>308</v>
      </c>
      <c r="Q14" s="114" t="s">
        <v>298</v>
      </c>
      <c r="R14" s="25"/>
      <c r="S14" s="114" t="s">
        <v>306</v>
      </c>
      <c r="T14" s="25"/>
      <c r="U14" s="25"/>
      <c r="V14" s="25"/>
      <c r="W14" s="25"/>
    </row>
    <row r="15" spans="1:23" ht="16.2">
      <c r="A15" s="1" t="s">
        <v>270</v>
      </c>
      <c r="B15" s="240">
        <v>0</v>
      </c>
      <c r="C15" s="240">
        <v>0</v>
      </c>
      <c r="D15" s="247">
        <v>141</v>
      </c>
      <c r="E15" s="21">
        <f>K15</f>
        <v>0</v>
      </c>
      <c r="F15" s="206">
        <f>O15*Q15*B15+C15*N15</f>
        <v>0</v>
      </c>
      <c r="G15" s="370">
        <v>0</v>
      </c>
      <c r="H15" s="21">
        <f>0.35*G15*(F15+E15)+((1-G15)*(F15+E15))</f>
        <v>0</v>
      </c>
      <c r="I15" s="271" t="s">
        <v>630</v>
      </c>
      <c r="K15" s="31">
        <f>(D15*B15+(C15*$S$15*1000*0.83))/1000</f>
        <v>0</v>
      </c>
      <c r="M15">
        <v>0.83</v>
      </c>
      <c r="N15">
        <f>Q15*M15</f>
        <v>0.46183689999999994</v>
      </c>
      <c r="O15">
        <v>4.9000000000000002E-2</v>
      </c>
      <c r="Q15" s="111">
        <v>0.55642999999999998</v>
      </c>
      <c r="R15" s="115"/>
      <c r="S15" s="117">
        <v>2.81</v>
      </c>
      <c r="U15" s="115"/>
      <c r="V15" s="115"/>
      <c r="W15" s="25"/>
    </row>
    <row r="16" spans="1:23" ht="16.2">
      <c r="A16" s="1" t="s">
        <v>269</v>
      </c>
      <c r="B16" s="240">
        <v>0</v>
      </c>
      <c r="C16" s="240">
        <v>0</v>
      </c>
      <c r="D16" s="247">
        <v>159</v>
      </c>
      <c r="E16" s="21">
        <f>K16</f>
        <v>0</v>
      </c>
      <c r="F16" s="206">
        <f>O16*Q16*B16+C16*N16</f>
        <v>0</v>
      </c>
      <c r="G16" s="370">
        <v>0</v>
      </c>
      <c r="H16" s="21">
        <f t="shared" ref="H16:H20" si="0">0.35*G16*(F16+E16)+((1-G16)*(F16+E16))</f>
        <v>0</v>
      </c>
      <c r="I16" s="271" t="s">
        <v>631</v>
      </c>
      <c r="K16" s="31">
        <f>(D16*B16+(C16*$S$15*1000*0.83))/1000</f>
        <v>0</v>
      </c>
      <c r="M16">
        <v>0.75</v>
      </c>
      <c r="N16">
        <f>Q16*M16</f>
        <v>0.52991250000000001</v>
      </c>
      <c r="O16">
        <v>5.3999999999999999E-2</v>
      </c>
      <c r="Q16" s="25">
        <v>0.70655000000000001</v>
      </c>
      <c r="R16" s="25"/>
      <c r="S16" s="208">
        <v>2.8</v>
      </c>
      <c r="T16" s="25"/>
      <c r="U16" s="25"/>
      <c r="V16" s="25"/>
      <c r="W16" s="25"/>
    </row>
    <row r="17" spans="1:23" ht="16.2">
      <c r="A17" s="1" t="s">
        <v>268</v>
      </c>
      <c r="B17" s="240">
        <v>0</v>
      </c>
      <c r="C17" s="240">
        <v>0</v>
      </c>
      <c r="D17" s="247">
        <v>192</v>
      </c>
      <c r="E17" s="21">
        <f>K17</f>
        <v>0</v>
      </c>
      <c r="F17" s="206">
        <f>O17*Q17*B17+C17*N17</f>
        <v>0</v>
      </c>
      <c r="G17" s="370">
        <v>0</v>
      </c>
      <c r="H17" s="21">
        <f t="shared" si="0"/>
        <v>0</v>
      </c>
      <c r="K17" s="31">
        <f>(D17*B17+(C17*$S$15*1000*0.83))/1000</f>
        <v>0</v>
      </c>
      <c r="M17">
        <v>0.83</v>
      </c>
      <c r="N17">
        <f>Q17*M17</f>
        <v>0.46183689999999994</v>
      </c>
      <c r="O17">
        <v>6.8000000000000005E-2</v>
      </c>
      <c r="Q17" s="111">
        <v>0.55642999999999998</v>
      </c>
      <c r="R17" s="25"/>
      <c r="S17" s="25"/>
      <c r="T17" s="25"/>
      <c r="U17" s="25"/>
      <c r="V17" s="25"/>
      <c r="W17" s="25"/>
    </row>
    <row r="18" spans="1:23" ht="14.4">
      <c r="C18" s="80"/>
      <c r="F18" s="455"/>
      <c r="G18" s="456"/>
      <c r="H18" s="457"/>
    </row>
    <row r="19" spans="1:23" ht="15.6">
      <c r="A19" s="120"/>
      <c r="B19" s="4" t="s">
        <v>11</v>
      </c>
      <c r="C19" s="4" t="s">
        <v>305</v>
      </c>
      <c r="D19" s="4" t="s">
        <v>440</v>
      </c>
      <c r="E19" s="14" t="s">
        <v>442</v>
      </c>
      <c r="F19" s="455"/>
      <c r="G19" s="456"/>
      <c r="H19" s="457"/>
      <c r="K19" s="4" t="s">
        <v>12</v>
      </c>
    </row>
    <row r="20" spans="1:23" ht="16.2">
      <c r="A20" s="1" t="s">
        <v>266</v>
      </c>
      <c r="B20" s="240">
        <v>0</v>
      </c>
      <c r="C20" s="240">
        <v>0</v>
      </c>
      <c r="D20" s="76">
        <v>53</v>
      </c>
      <c r="E20" s="8">
        <f>K20/1000</f>
        <v>0</v>
      </c>
      <c r="F20" s="206">
        <f>O20*Q20*B20+C20*N20</f>
        <v>0</v>
      </c>
      <c r="G20" s="370">
        <v>0</v>
      </c>
      <c r="H20" s="21">
        <f t="shared" si="0"/>
        <v>0</v>
      </c>
      <c r="I20" s="271" t="s">
        <v>630</v>
      </c>
      <c r="K20" s="31">
        <f>D20*B20+(C20*$S$15*1000*0.83)</f>
        <v>0</v>
      </c>
      <c r="M20">
        <v>0.83</v>
      </c>
      <c r="N20">
        <f>Q20*M20</f>
        <v>0.46183689999999994</v>
      </c>
      <c r="O20">
        <v>1.7999999999999999E-2</v>
      </c>
      <c r="Q20" s="111">
        <v>0.55642999999999998</v>
      </c>
    </row>
    <row r="21" spans="1:23" ht="16.2">
      <c r="A21" s="1" t="s">
        <v>267</v>
      </c>
      <c r="B21" s="240">
        <v>0</v>
      </c>
      <c r="C21" s="65" t="s">
        <v>284</v>
      </c>
      <c r="D21" s="31">
        <v>15.3</v>
      </c>
      <c r="E21" s="8">
        <f>K21/1000</f>
        <v>0</v>
      </c>
      <c r="H21" s="127"/>
      <c r="I21" s="80"/>
      <c r="K21" s="31">
        <f>D21*B21</f>
        <v>0</v>
      </c>
    </row>
    <row r="22" spans="1:23" ht="14.4">
      <c r="F22" s="19"/>
      <c r="G22" s="1" t="s">
        <v>377</v>
      </c>
      <c r="H22" s="20">
        <f>H15+H16+H20+E21+H17</f>
        <v>0</v>
      </c>
      <c r="I22" s="127"/>
      <c r="J22" s="80"/>
    </row>
    <row r="23" spans="1:23">
      <c r="I23" s="127"/>
      <c r="L23" s="80"/>
      <c r="M23" s="83"/>
      <c r="N23" s="80"/>
    </row>
    <row r="24" spans="1:23" ht="15.6">
      <c r="B24" s="6" t="s">
        <v>5</v>
      </c>
      <c r="C24" s="6" t="s">
        <v>2</v>
      </c>
      <c r="D24" s="4" t="s">
        <v>441</v>
      </c>
      <c r="E24" s="1" t="s">
        <v>0</v>
      </c>
      <c r="I24" s="127"/>
    </row>
    <row r="25" spans="1:23" ht="16.2">
      <c r="A25" s="1" t="s">
        <v>265</v>
      </c>
      <c r="B25" s="240">
        <v>0</v>
      </c>
      <c r="C25" s="248">
        <v>80</v>
      </c>
      <c r="D25" s="31">
        <v>0.5</v>
      </c>
      <c r="E25" s="20">
        <f>B25*C25*D25</f>
        <v>0</v>
      </c>
      <c r="F25" s="1"/>
      <c r="I25" s="127"/>
    </row>
    <row r="26" spans="1:23" ht="13.8" thickBot="1">
      <c r="I26" s="127"/>
    </row>
    <row r="27" spans="1:23" ht="16.2" thickBot="1">
      <c r="A27" s="58" t="s">
        <v>7</v>
      </c>
      <c r="B27" s="59"/>
      <c r="C27" s="59"/>
      <c r="D27" s="59"/>
      <c r="E27" s="60"/>
      <c r="F27" s="392">
        <f>E11+H22+E25</f>
        <v>0</v>
      </c>
      <c r="G27" s="61" t="s">
        <v>1</v>
      </c>
    </row>
    <row r="31" spans="1:23" s="80" customFormat="1">
      <c r="A31" s="80" t="s">
        <v>437</v>
      </c>
    </row>
    <row r="32" spans="1:23" s="80" customFormat="1">
      <c r="A32" s="80" t="s">
        <v>292</v>
      </c>
    </row>
    <row r="33" spans="1:7" s="80" customFormat="1">
      <c r="A33" s="80" t="s">
        <v>403</v>
      </c>
    </row>
    <row r="34" spans="1:7" s="80" customFormat="1" ht="15.6">
      <c r="A34" s="80" t="s">
        <v>380</v>
      </c>
    </row>
    <row r="35" spans="1:7" s="80" customFormat="1">
      <c r="A35" s="80" t="s">
        <v>263</v>
      </c>
    </row>
    <row r="36" spans="1:7" s="80" customFormat="1" ht="15.6">
      <c r="A36" s="80" t="s">
        <v>381</v>
      </c>
    </row>
    <row r="37" spans="1:7" s="80" customFormat="1">
      <c r="A37" s="80" t="s">
        <v>262</v>
      </c>
    </row>
    <row r="39" spans="1:7">
      <c r="A39" t="s">
        <v>6</v>
      </c>
    </row>
    <row r="40" spans="1:7" ht="16.2">
      <c r="A40" s="271" t="s">
        <v>618</v>
      </c>
      <c r="B40" s="95"/>
      <c r="C40" s="95"/>
      <c r="D40" s="95"/>
      <c r="E40" s="83"/>
      <c r="F40" s="83"/>
      <c r="G40" s="83"/>
    </row>
    <row r="41" spans="1:7" ht="16.2">
      <c r="A41" s="117" t="s">
        <v>271</v>
      </c>
    </row>
    <row r="42" spans="1:7" ht="15.6">
      <c r="A42" s="3" t="s">
        <v>264</v>
      </c>
    </row>
    <row r="43" spans="1:7" ht="15.6">
      <c r="A43" s="3" t="s">
        <v>295</v>
      </c>
    </row>
    <row r="44" spans="1:7" hidden="1"/>
    <row r="45" spans="1:7" hidden="1">
      <c r="A45" s="86" t="s">
        <v>124</v>
      </c>
      <c r="B45" s="86"/>
      <c r="C45" s="86"/>
      <c r="D45" s="86"/>
      <c r="E45" s="86"/>
      <c r="F45" s="86"/>
    </row>
    <row r="46" spans="1:7" ht="15.6" hidden="1">
      <c r="A46" s="89" t="s">
        <v>135</v>
      </c>
      <c r="B46" s="86"/>
      <c r="C46" s="86"/>
      <c r="D46" s="86"/>
      <c r="E46" s="86"/>
      <c r="F46" s="86"/>
    </row>
    <row r="47" spans="1:7" ht="15.6" hidden="1">
      <c r="A47" s="89" t="s">
        <v>136</v>
      </c>
      <c r="B47" s="86"/>
      <c r="C47" s="86"/>
      <c r="D47" s="86"/>
      <c r="E47" s="86"/>
      <c r="F47" s="86"/>
    </row>
    <row r="48" spans="1:7" hidden="1"/>
    <row r="49" hidden="1"/>
  </sheetData>
  <sheetProtection algorithmName="SHA-512" hashValue="PnrsCEMLzPZux8ebfXdxtXOtZSQ5bcG4MlVfx9dojxEOXfHImjrgdECoc8sC+z+PQ0gVSVbD1wdbc6blKg/9Ng==" saltValue="qxNNE3Hve01FAjGQGSaqDg==" spinCount="100000" sheet="1" objects="1" scenarios="1"/>
  <mergeCells count="1">
    <mergeCell ref="A4:B4"/>
  </mergeCells>
  <phoneticPr fontId="0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IV162"/>
  <sheetViews>
    <sheetView workbookViewId="0">
      <selection activeCell="A29" sqref="A29"/>
    </sheetView>
  </sheetViews>
  <sheetFormatPr defaultRowHeight="13.2"/>
  <cols>
    <col min="1" max="1" width="32.5546875" customWidth="1"/>
    <col min="2" max="2" width="26.5546875" style="110" customWidth="1"/>
    <col min="3" max="3" width="20.33203125" style="114" customWidth="1"/>
    <col min="4" max="4" width="10.109375" style="114" customWidth="1"/>
    <col min="5" max="5" width="17.5546875" style="114" customWidth="1"/>
    <col min="6" max="6" width="16.5546875" style="114" customWidth="1"/>
    <col min="8" max="8" width="26.33203125" customWidth="1"/>
  </cols>
  <sheetData>
    <row r="1" spans="1:8">
      <c r="A1" s="35" t="s">
        <v>391</v>
      </c>
      <c r="B1" s="76"/>
      <c r="C1" s="76"/>
      <c r="D1" s="76"/>
      <c r="E1" s="76"/>
      <c r="F1" s="76"/>
    </row>
    <row r="2" spans="1:8" ht="40.799999999999997">
      <c r="A2" s="64" t="s">
        <v>398</v>
      </c>
      <c r="B2" s="109" t="s">
        <v>87</v>
      </c>
      <c r="C2" s="140" t="s">
        <v>65</v>
      </c>
      <c r="D2" s="140" t="s">
        <v>66</v>
      </c>
      <c r="E2" s="140" t="s">
        <v>67</v>
      </c>
      <c r="F2" s="109" t="s">
        <v>412</v>
      </c>
    </row>
    <row r="3" spans="1:8" ht="16.2">
      <c r="A3" s="75" t="s">
        <v>401</v>
      </c>
      <c r="B3" s="141">
        <v>0.15533333333333335</v>
      </c>
      <c r="C3" s="142" t="s">
        <v>68</v>
      </c>
      <c r="D3" s="142">
        <v>2016</v>
      </c>
      <c r="E3" s="139" t="s">
        <v>69</v>
      </c>
      <c r="F3" s="139" t="s">
        <v>70</v>
      </c>
      <c r="H3" s="219"/>
    </row>
    <row r="4" spans="1:8" ht="16.2">
      <c r="A4" s="75" t="s">
        <v>400</v>
      </c>
      <c r="B4" s="141">
        <v>8.5085714285714292E-2</v>
      </c>
      <c r="C4" s="142" t="s">
        <v>72</v>
      </c>
      <c r="D4" s="142">
        <v>2016</v>
      </c>
      <c r="E4" s="139" t="s">
        <v>71</v>
      </c>
      <c r="F4" s="139" t="s">
        <v>70</v>
      </c>
    </row>
    <row r="5" spans="1:8" ht="16.2">
      <c r="A5" s="75" t="s">
        <v>399</v>
      </c>
      <c r="B5" s="141">
        <v>5.5222222222222221E-2</v>
      </c>
      <c r="C5" s="142" t="s">
        <v>72</v>
      </c>
      <c r="D5" s="142">
        <v>2016</v>
      </c>
      <c r="E5" s="139" t="s">
        <v>71</v>
      </c>
      <c r="F5" s="139" t="s">
        <v>70</v>
      </c>
    </row>
    <row r="6" spans="1:8" ht="16.2">
      <c r="A6" s="75" t="s">
        <v>397</v>
      </c>
      <c r="B6" s="141">
        <v>3.848E-2</v>
      </c>
      <c r="C6" s="142" t="s">
        <v>72</v>
      </c>
      <c r="D6" s="142">
        <v>2016</v>
      </c>
      <c r="E6" s="139" t="s">
        <v>71</v>
      </c>
      <c r="F6" s="139" t="s">
        <v>70</v>
      </c>
    </row>
    <row r="7" spans="1:8" ht="16.2">
      <c r="A7" s="75" t="s">
        <v>396</v>
      </c>
      <c r="B7" s="141">
        <v>3.0124999999999999E-2</v>
      </c>
      <c r="C7" s="142" t="s">
        <v>72</v>
      </c>
      <c r="D7" s="142">
        <v>2016</v>
      </c>
      <c r="E7" s="139" t="s">
        <v>71</v>
      </c>
      <c r="F7" s="139" t="s">
        <v>70</v>
      </c>
    </row>
    <row r="8" spans="1:8" ht="16.2">
      <c r="A8" s="75" t="s">
        <v>395</v>
      </c>
      <c r="B8" s="141">
        <v>2.807843137254902E-2</v>
      </c>
      <c r="C8" s="142" t="s">
        <v>72</v>
      </c>
      <c r="D8" s="142">
        <v>2016</v>
      </c>
      <c r="E8" s="139" t="s">
        <v>71</v>
      </c>
      <c r="F8" s="139" t="s">
        <v>70</v>
      </c>
    </row>
    <row r="9" spans="1:8" ht="16.2">
      <c r="A9" s="75" t="s">
        <v>261</v>
      </c>
      <c r="B9" s="141">
        <v>4.2000000000000003E-2</v>
      </c>
      <c r="C9" s="142" t="s">
        <v>72</v>
      </c>
      <c r="D9" s="142">
        <v>2016</v>
      </c>
      <c r="E9" s="139" t="s">
        <v>71</v>
      </c>
      <c r="F9" s="139" t="s">
        <v>70</v>
      </c>
    </row>
    <row r="10" spans="1:8" ht="16.2">
      <c r="A10" s="75" t="s">
        <v>259</v>
      </c>
      <c r="B10" s="141">
        <v>2.8000000000000001E-2</v>
      </c>
      <c r="C10" s="142" t="s">
        <v>68</v>
      </c>
      <c r="D10" s="142">
        <v>2016</v>
      </c>
      <c r="E10" s="139" t="s">
        <v>71</v>
      </c>
      <c r="F10" s="139" t="s">
        <v>70</v>
      </c>
    </row>
    <row r="11" spans="1:8" ht="16.2">
      <c r="A11" s="75" t="s">
        <v>30</v>
      </c>
      <c r="B11" s="141">
        <v>2.6200000000000001E-2</v>
      </c>
      <c r="C11" s="142" t="s">
        <v>72</v>
      </c>
      <c r="D11" s="142">
        <v>2016</v>
      </c>
      <c r="E11" s="139" t="s">
        <v>71</v>
      </c>
      <c r="F11" s="139" t="s">
        <v>70</v>
      </c>
    </row>
    <row r="12" spans="1:8" ht="16.2">
      <c r="A12" s="75" t="s">
        <v>29</v>
      </c>
      <c r="B12" s="141">
        <v>9.2999999999999992E-3</v>
      </c>
      <c r="C12" s="142" t="s">
        <v>72</v>
      </c>
      <c r="D12" s="142">
        <v>2016</v>
      </c>
      <c r="E12" s="139" t="s">
        <v>71</v>
      </c>
      <c r="F12" s="139" t="s">
        <v>70</v>
      </c>
    </row>
    <row r="13" spans="1:8" ht="16.2">
      <c r="A13" s="76" t="s">
        <v>394</v>
      </c>
      <c r="B13" s="141">
        <v>1.05</v>
      </c>
      <c r="C13" s="142" t="s">
        <v>72</v>
      </c>
      <c r="D13" s="142">
        <v>2018</v>
      </c>
      <c r="E13" s="139" t="s">
        <v>237</v>
      </c>
      <c r="F13" s="139" t="s">
        <v>70</v>
      </c>
      <c r="G13" t="s">
        <v>679</v>
      </c>
    </row>
    <row r="14" spans="1:8" ht="16.2">
      <c r="A14" s="75" t="s">
        <v>392</v>
      </c>
      <c r="B14" s="141">
        <v>0.97</v>
      </c>
      <c r="C14" s="142" t="s">
        <v>72</v>
      </c>
      <c r="D14" s="142">
        <v>2018</v>
      </c>
      <c r="E14" s="139" t="s">
        <v>237</v>
      </c>
      <c r="F14" s="139" t="s">
        <v>70</v>
      </c>
      <c r="G14" t="s">
        <v>679</v>
      </c>
    </row>
    <row r="15" spans="1:8" ht="16.2">
      <c r="A15" s="75" t="s">
        <v>393</v>
      </c>
      <c r="B15" s="141">
        <v>0.63</v>
      </c>
      <c r="C15" s="142" t="s">
        <v>72</v>
      </c>
      <c r="D15" s="142">
        <v>2018</v>
      </c>
      <c r="E15" s="139" t="s">
        <v>237</v>
      </c>
      <c r="F15" s="139" t="s">
        <v>70</v>
      </c>
      <c r="G15" t="s">
        <v>679</v>
      </c>
    </row>
    <row r="16" spans="1:8" ht="33" customHeight="1">
      <c r="A16" s="35" t="s">
        <v>81</v>
      </c>
      <c r="B16" s="132"/>
      <c r="C16" s="132"/>
      <c r="D16" s="132"/>
      <c r="E16" s="76"/>
      <c r="F16" s="76"/>
    </row>
    <row r="17" spans="1:256" ht="40.200000000000003">
      <c r="A17" s="75" t="s">
        <v>82</v>
      </c>
      <c r="B17" s="227" t="s">
        <v>140</v>
      </c>
      <c r="C17" s="228" t="s">
        <v>65</v>
      </c>
      <c r="D17" s="228" t="s">
        <v>66</v>
      </c>
      <c r="E17" s="140" t="s">
        <v>67</v>
      </c>
      <c r="F17" s="109" t="s">
        <v>412</v>
      </c>
    </row>
    <row r="18" spans="1:256" ht="16.2">
      <c r="A18" s="68" t="s">
        <v>255</v>
      </c>
      <c r="B18" s="141">
        <v>129.30000000000001</v>
      </c>
      <c r="C18" s="142" t="s">
        <v>83</v>
      </c>
      <c r="D18" s="142">
        <v>2018</v>
      </c>
      <c r="E18" s="139" t="s">
        <v>237</v>
      </c>
      <c r="F18" s="139" t="s">
        <v>70</v>
      </c>
      <c r="G18" t="s">
        <v>679</v>
      </c>
    </row>
    <row r="19" spans="1:256" ht="16.2">
      <c r="A19" s="119" t="s">
        <v>256</v>
      </c>
      <c r="B19" s="141">
        <v>874</v>
      </c>
      <c r="C19" s="142" t="s">
        <v>83</v>
      </c>
      <c r="D19" s="142">
        <v>2018</v>
      </c>
      <c r="E19" s="139" t="s">
        <v>237</v>
      </c>
      <c r="F19" s="139" t="s">
        <v>70</v>
      </c>
      <c r="G19" t="s">
        <v>679</v>
      </c>
    </row>
    <row r="20" spans="1:256" ht="16.2">
      <c r="A20" s="68" t="s">
        <v>257</v>
      </c>
      <c r="B20" s="141">
        <v>84.2</v>
      </c>
      <c r="C20" s="142" t="s">
        <v>83</v>
      </c>
      <c r="D20" s="142">
        <v>2018</v>
      </c>
      <c r="E20" s="139" t="s">
        <v>237</v>
      </c>
      <c r="F20" s="139" t="s">
        <v>70</v>
      </c>
      <c r="G20" t="s">
        <v>679</v>
      </c>
    </row>
    <row r="21" spans="1:256" ht="16.2">
      <c r="A21" s="68" t="s">
        <v>258</v>
      </c>
      <c r="B21" s="141">
        <v>59.1</v>
      </c>
      <c r="C21" s="142" t="s">
        <v>83</v>
      </c>
      <c r="D21" s="142">
        <v>2018</v>
      </c>
      <c r="E21" s="139" t="s">
        <v>237</v>
      </c>
      <c r="F21" s="139" t="s">
        <v>70</v>
      </c>
      <c r="G21" t="s">
        <v>679</v>
      </c>
    </row>
    <row r="22" spans="1:256" ht="27">
      <c r="A22" s="69" t="s">
        <v>84</v>
      </c>
      <c r="B22" s="141">
        <v>141</v>
      </c>
      <c r="C22" s="142" t="s">
        <v>285</v>
      </c>
      <c r="D22" s="142">
        <v>2016</v>
      </c>
      <c r="E22" s="139" t="s">
        <v>71</v>
      </c>
      <c r="F22" s="139" t="s">
        <v>70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27">
      <c r="A23" s="69" t="s">
        <v>405</v>
      </c>
      <c r="B23" s="141">
        <v>159</v>
      </c>
      <c r="C23" s="142" t="s">
        <v>285</v>
      </c>
      <c r="D23" s="142">
        <v>2016</v>
      </c>
      <c r="E23" s="139" t="s">
        <v>71</v>
      </c>
      <c r="F23" s="139" t="s">
        <v>70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6.2">
      <c r="A24" s="70" t="s">
        <v>85</v>
      </c>
      <c r="B24" s="141">
        <v>53</v>
      </c>
      <c r="C24" s="142" t="s">
        <v>83</v>
      </c>
      <c r="D24" s="142">
        <v>2016</v>
      </c>
      <c r="E24" s="139" t="s">
        <v>71</v>
      </c>
      <c r="F24" s="139" t="s">
        <v>70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6.2">
      <c r="A25" s="70" t="s">
        <v>86</v>
      </c>
      <c r="B25" s="141">
        <v>15.2</v>
      </c>
      <c r="C25" s="142" t="s">
        <v>83</v>
      </c>
      <c r="D25" s="142">
        <v>2016</v>
      </c>
      <c r="E25" s="139" t="s">
        <v>71</v>
      </c>
      <c r="F25" s="139" t="s">
        <v>70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6.2">
      <c r="A26" s="70" t="s">
        <v>286</v>
      </c>
      <c r="B26" s="141">
        <v>192</v>
      </c>
      <c r="C26" s="142" t="s">
        <v>83</v>
      </c>
      <c r="D26" s="142">
        <v>2016</v>
      </c>
      <c r="E26" s="139" t="s">
        <v>71</v>
      </c>
      <c r="F26" s="139" t="s">
        <v>70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6.2">
      <c r="A27" s="70" t="s">
        <v>287</v>
      </c>
      <c r="B27" s="141">
        <v>0.5</v>
      </c>
      <c r="C27" s="142" t="s">
        <v>88</v>
      </c>
      <c r="D27" s="142">
        <v>2009</v>
      </c>
      <c r="E27" s="139" t="s">
        <v>238</v>
      </c>
      <c r="F27" s="139" t="s">
        <v>70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33" customHeight="1">
      <c r="A28" s="35" t="s">
        <v>74</v>
      </c>
      <c r="B28" s="132"/>
      <c r="C28" s="132"/>
      <c r="D28" s="132"/>
      <c r="E28" s="76"/>
      <c r="F28" s="76"/>
    </row>
    <row r="29" spans="1:256" ht="40.200000000000003">
      <c r="A29" s="35" t="s">
        <v>75</v>
      </c>
      <c r="B29" s="227" t="s">
        <v>140</v>
      </c>
      <c r="C29" s="142" t="s">
        <v>65</v>
      </c>
      <c r="D29" s="142" t="s">
        <v>66</v>
      </c>
      <c r="E29" s="139" t="s">
        <v>67</v>
      </c>
      <c r="F29" s="109" t="s">
        <v>412</v>
      </c>
      <c r="H29" s="26"/>
      <c r="I29" s="55"/>
      <c r="J29" s="55"/>
      <c r="K29" s="55"/>
      <c r="L29" s="55"/>
      <c r="M29" s="55"/>
      <c r="N29" s="55"/>
    </row>
    <row r="30" spans="1:256" ht="16.2">
      <c r="A30" s="75" t="s">
        <v>406</v>
      </c>
      <c r="B30" s="141">
        <v>163.93910000000002</v>
      </c>
      <c r="C30" s="142" t="s">
        <v>278</v>
      </c>
      <c r="D30" s="142">
        <v>2017</v>
      </c>
      <c r="E30" s="139" t="s">
        <v>407</v>
      </c>
      <c r="F30" s="139" t="s">
        <v>70</v>
      </c>
      <c r="I30" s="55"/>
      <c r="J30" s="55"/>
      <c r="K30" s="55"/>
      <c r="L30" s="55"/>
      <c r="M30" s="55"/>
      <c r="N30" s="55"/>
    </row>
    <row r="31" spans="1:256" ht="31.8">
      <c r="A31" s="75" t="s">
        <v>14</v>
      </c>
      <c r="B31" s="141">
        <v>6.4899999999999999E-2</v>
      </c>
      <c r="C31" s="142" t="s">
        <v>97</v>
      </c>
      <c r="D31" s="142" t="s">
        <v>279</v>
      </c>
      <c r="E31" s="143" t="s">
        <v>239</v>
      </c>
      <c r="F31" s="139" t="s">
        <v>70</v>
      </c>
      <c r="H31" s="22"/>
      <c r="I31" s="55"/>
      <c r="J31" s="55"/>
      <c r="K31" s="220"/>
      <c r="L31" s="55"/>
      <c r="M31" s="55"/>
      <c r="N31" s="55"/>
    </row>
    <row r="32" spans="1:256" ht="31.8">
      <c r="A32" s="75" t="s">
        <v>15</v>
      </c>
      <c r="B32" s="141">
        <v>7.3393E-2</v>
      </c>
      <c r="C32" s="142" t="s">
        <v>97</v>
      </c>
      <c r="D32" s="142" t="s">
        <v>279</v>
      </c>
      <c r="E32" s="143" t="s">
        <v>239</v>
      </c>
      <c r="F32" s="139" t="s">
        <v>70</v>
      </c>
      <c r="H32" s="22"/>
      <c r="I32" s="55"/>
      <c r="J32" s="55"/>
      <c r="K32" s="110"/>
      <c r="L32" s="55"/>
      <c r="M32" s="55"/>
      <c r="N32" s="110"/>
    </row>
    <row r="33" spans="1:14" ht="31.8">
      <c r="A33" s="75" t="s">
        <v>16</v>
      </c>
      <c r="B33" s="141">
        <v>7.8692999999999999E-2</v>
      </c>
      <c r="C33" s="142" t="s">
        <v>97</v>
      </c>
      <c r="D33" s="142" t="s">
        <v>279</v>
      </c>
      <c r="E33" s="143" t="s">
        <v>239</v>
      </c>
      <c r="F33" s="139" t="s">
        <v>70</v>
      </c>
      <c r="H33" s="22"/>
      <c r="I33" s="55"/>
      <c r="J33" s="55"/>
      <c r="K33" s="110"/>
      <c r="L33" s="110"/>
      <c r="M33" s="110"/>
      <c r="N33" s="110"/>
    </row>
    <row r="34" spans="1:14" ht="31.8">
      <c r="A34" s="75" t="s">
        <v>17</v>
      </c>
      <c r="B34" s="141">
        <v>5.5300000000000002E-2</v>
      </c>
      <c r="C34" s="142" t="s">
        <v>97</v>
      </c>
      <c r="D34" s="142" t="s">
        <v>279</v>
      </c>
      <c r="E34" s="143" t="s">
        <v>239</v>
      </c>
      <c r="F34" s="139" t="s">
        <v>70</v>
      </c>
      <c r="H34" s="22"/>
      <c r="I34" s="55"/>
      <c r="J34" s="55"/>
      <c r="K34" s="110"/>
      <c r="L34" s="110"/>
      <c r="M34" s="110"/>
      <c r="N34" s="110"/>
    </row>
    <row r="35" spans="1:14" ht="31.8">
      <c r="A35" s="75" t="s">
        <v>18</v>
      </c>
      <c r="B35" s="141">
        <v>0.103507</v>
      </c>
      <c r="C35" s="142" t="s">
        <v>97</v>
      </c>
      <c r="D35" s="142" t="s">
        <v>279</v>
      </c>
      <c r="E35" s="143" t="s">
        <v>239</v>
      </c>
      <c r="F35" s="139" t="s">
        <v>70</v>
      </c>
      <c r="H35" s="22"/>
      <c r="I35" s="55"/>
      <c r="J35" s="55"/>
      <c r="K35" s="110"/>
      <c r="L35" s="55"/>
      <c r="M35" s="55"/>
      <c r="N35" s="110"/>
    </row>
    <row r="36" spans="1:14" ht="31.8">
      <c r="A36" s="64" t="s">
        <v>94</v>
      </c>
      <c r="B36" s="141">
        <v>0.11285100000000001</v>
      </c>
      <c r="C36" s="142" t="s">
        <v>97</v>
      </c>
      <c r="D36" s="142" t="s">
        <v>279</v>
      </c>
      <c r="E36" s="143" t="s">
        <v>239</v>
      </c>
      <c r="F36" s="139" t="s">
        <v>70</v>
      </c>
      <c r="H36" s="22"/>
      <c r="I36" s="55"/>
      <c r="J36" s="55"/>
      <c r="K36" s="110"/>
      <c r="L36" s="110"/>
      <c r="M36" s="110"/>
      <c r="N36" s="110"/>
    </row>
    <row r="37" spans="1:14" ht="31.8">
      <c r="A37" s="64" t="s">
        <v>95</v>
      </c>
      <c r="B37" s="141">
        <v>9.6351000000000006E-2</v>
      </c>
      <c r="C37" s="142" t="s">
        <v>97</v>
      </c>
      <c r="D37" s="142" t="s">
        <v>279</v>
      </c>
      <c r="E37" s="143" t="s">
        <v>239</v>
      </c>
      <c r="F37" s="139" t="s">
        <v>70</v>
      </c>
      <c r="H37" s="55"/>
      <c r="I37" s="55"/>
      <c r="J37" s="55"/>
      <c r="K37" s="110"/>
      <c r="L37" s="110"/>
      <c r="M37" s="110"/>
      <c r="N37" s="110"/>
    </row>
    <row r="38" spans="1:14" ht="39" customHeight="1">
      <c r="A38" s="75" t="s">
        <v>96</v>
      </c>
      <c r="B38" s="141">
        <v>5.5451E-2</v>
      </c>
      <c r="C38" s="142" t="s">
        <v>97</v>
      </c>
      <c r="D38" s="142" t="s">
        <v>279</v>
      </c>
      <c r="E38" s="143" t="s">
        <v>239</v>
      </c>
      <c r="F38" s="139" t="s">
        <v>70</v>
      </c>
      <c r="G38" s="545" t="s">
        <v>409</v>
      </c>
      <c r="H38" s="545"/>
      <c r="I38" s="545"/>
      <c r="J38" s="545"/>
      <c r="K38" s="545"/>
      <c r="L38" s="545"/>
      <c r="M38" s="110"/>
      <c r="N38" s="110"/>
    </row>
    <row r="39" spans="1:14" ht="47.4">
      <c r="A39" s="236" t="s">
        <v>625</v>
      </c>
      <c r="B39" s="141">
        <v>155.94999999999999</v>
      </c>
      <c r="C39" s="142" t="s">
        <v>278</v>
      </c>
      <c r="D39" s="505" t="s">
        <v>629</v>
      </c>
      <c r="E39" s="504" t="s">
        <v>626</v>
      </c>
      <c r="F39" s="139" t="s">
        <v>70</v>
      </c>
      <c r="I39" s="25"/>
      <c r="J39" s="22"/>
      <c r="K39" s="121"/>
      <c r="L39" s="122"/>
      <c r="M39" s="121"/>
      <c r="N39" s="25"/>
    </row>
    <row r="40" spans="1:14" ht="16.2">
      <c r="A40" s="75" t="s">
        <v>33</v>
      </c>
      <c r="B40" s="141">
        <v>184</v>
      </c>
      <c r="C40" s="142" t="s">
        <v>278</v>
      </c>
      <c r="D40" s="142">
        <v>2014</v>
      </c>
      <c r="E40" s="139" t="s">
        <v>280</v>
      </c>
      <c r="F40" s="139" t="s">
        <v>281</v>
      </c>
      <c r="I40" s="25"/>
      <c r="J40" s="24"/>
      <c r="K40" s="82"/>
      <c r="L40" s="26"/>
      <c r="M40" s="26"/>
      <c r="N40" s="25"/>
    </row>
    <row r="41" spans="1:14" ht="16.2">
      <c r="A41" s="75" t="s">
        <v>34</v>
      </c>
      <c r="B41" s="141">
        <v>41</v>
      </c>
      <c r="C41" s="142" t="s">
        <v>278</v>
      </c>
      <c r="D41" s="142">
        <v>2014</v>
      </c>
      <c r="E41" s="139" t="s">
        <v>280</v>
      </c>
      <c r="F41" s="139" t="s">
        <v>281</v>
      </c>
      <c r="I41" s="25"/>
      <c r="J41" s="24"/>
      <c r="K41" s="82"/>
      <c r="L41" s="26"/>
      <c r="M41" s="26"/>
      <c r="N41" s="25"/>
    </row>
    <row r="42" spans="1:14" ht="16.2">
      <c r="A42" s="75" t="s">
        <v>35</v>
      </c>
      <c r="B42" s="141">
        <v>11</v>
      </c>
      <c r="C42" s="142" t="s">
        <v>278</v>
      </c>
      <c r="D42" s="142">
        <v>2014</v>
      </c>
      <c r="E42" s="139" t="s">
        <v>280</v>
      </c>
      <c r="F42" s="139" t="s">
        <v>281</v>
      </c>
      <c r="I42" s="25"/>
      <c r="J42" s="24"/>
      <c r="K42" s="82"/>
      <c r="L42" s="26"/>
      <c r="M42" s="26"/>
      <c r="N42" s="25"/>
    </row>
    <row r="43" spans="1:14" ht="16.2">
      <c r="A43" s="75" t="s">
        <v>36</v>
      </c>
      <c r="B43" s="141">
        <v>24</v>
      </c>
      <c r="C43" s="142" t="s">
        <v>278</v>
      </c>
      <c r="D43" s="142">
        <v>2014</v>
      </c>
      <c r="E43" s="139" t="s">
        <v>280</v>
      </c>
      <c r="F43" s="139" t="s">
        <v>281</v>
      </c>
      <c r="I43" s="25"/>
      <c r="J43" s="24"/>
      <c r="K43" s="26"/>
      <c r="L43" s="26"/>
      <c r="M43" s="26"/>
      <c r="N43" s="25"/>
    </row>
    <row r="44" spans="1:14" ht="16.2">
      <c r="A44" s="75" t="s">
        <v>108</v>
      </c>
      <c r="B44" s="141">
        <v>12</v>
      </c>
      <c r="C44" s="142" t="s">
        <v>278</v>
      </c>
      <c r="D44" s="142">
        <v>2014</v>
      </c>
      <c r="E44" s="348" t="s">
        <v>280</v>
      </c>
      <c r="F44" s="139" t="s">
        <v>281</v>
      </c>
      <c r="I44" s="25"/>
      <c r="J44" s="24"/>
      <c r="K44" s="26"/>
      <c r="L44" s="26"/>
      <c r="M44" s="26"/>
      <c r="N44" s="25"/>
    </row>
    <row r="45" spans="1:14" ht="42" customHeight="1">
      <c r="A45" s="57" t="s">
        <v>76</v>
      </c>
      <c r="B45" s="132"/>
      <c r="C45" s="132"/>
      <c r="D45" s="132"/>
      <c r="E45" s="76"/>
      <c r="F45" s="76"/>
      <c r="I45" s="25"/>
      <c r="J45" s="123"/>
      <c r="K45" s="82"/>
      <c r="L45" s="26"/>
      <c r="M45" s="26"/>
      <c r="N45" s="25"/>
    </row>
    <row r="46" spans="1:14" ht="40.200000000000003">
      <c r="A46" s="75" t="s">
        <v>328</v>
      </c>
      <c r="B46" s="227" t="s">
        <v>140</v>
      </c>
      <c r="C46" s="228" t="s">
        <v>65</v>
      </c>
      <c r="D46" s="228" t="s">
        <v>66</v>
      </c>
      <c r="E46" s="140" t="s">
        <v>67</v>
      </c>
      <c r="F46" s="109" t="s">
        <v>412</v>
      </c>
      <c r="I46" s="25"/>
      <c r="J46" s="25"/>
      <c r="K46" s="25"/>
      <c r="L46" s="25"/>
      <c r="M46" s="25"/>
      <c r="N46" s="25"/>
    </row>
    <row r="47" spans="1:14" ht="16.2">
      <c r="A47" s="138" t="s">
        <v>240</v>
      </c>
      <c r="B47" s="141">
        <f>Jätehuolto!Q6</f>
        <v>53.43</v>
      </c>
      <c r="C47" s="142" t="s">
        <v>283</v>
      </c>
      <c r="D47" s="139" t="s">
        <v>284</v>
      </c>
      <c r="E47" s="142" t="s">
        <v>326</v>
      </c>
      <c r="F47" s="139" t="s">
        <v>325</v>
      </c>
    </row>
    <row r="48" spans="1:14" ht="16.2">
      <c r="A48" s="138" t="s">
        <v>243</v>
      </c>
      <c r="B48" s="141">
        <f>Jätehuolto!Q7</f>
        <v>72.55</v>
      </c>
      <c r="C48" s="142" t="s">
        <v>283</v>
      </c>
      <c r="D48" s="139" t="s">
        <v>284</v>
      </c>
      <c r="E48" s="142" t="s">
        <v>326</v>
      </c>
      <c r="F48" s="139" t="s">
        <v>325</v>
      </c>
    </row>
    <row r="49" spans="1:6" ht="16.2">
      <c r="A49" s="138" t="s">
        <v>241</v>
      </c>
      <c r="B49" s="141">
        <f>Jätehuolto!Q8</f>
        <v>13.17</v>
      </c>
      <c r="C49" s="142" t="s">
        <v>283</v>
      </c>
      <c r="D49" s="139" t="s">
        <v>284</v>
      </c>
      <c r="E49" s="142" t="s">
        <v>326</v>
      </c>
      <c r="F49" s="139" t="s">
        <v>325</v>
      </c>
    </row>
    <row r="50" spans="1:6" ht="16.2">
      <c r="A50" s="138" t="s">
        <v>242</v>
      </c>
      <c r="B50" s="141">
        <f>Jätehuolto!Q9</f>
        <v>24.64</v>
      </c>
      <c r="C50" s="142" t="s">
        <v>283</v>
      </c>
      <c r="D50" s="139" t="s">
        <v>284</v>
      </c>
      <c r="E50" s="142" t="s">
        <v>326</v>
      </c>
      <c r="F50" s="139" t="s">
        <v>325</v>
      </c>
    </row>
    <row r="51" spans="1:6" ht="16.2">
      <c r="A51" s="138" t="s">
        <v>244</v>
      </c>
      <c r="B51" s="141">
        <f>Jätehuolto!Q10</f>
        <v>927.58</v>
      </c>
      <c r="C51" s="142" t="s">
        <v>283</v>
      </c>
      <c r="D51" s="139" t="s">
        <v>284</v>
      </c>
      <c r="E51" s="142" t="s">
        <v>326</v>
      </c>
      <c r="F51" s="139" t="s">
        <v>325</v>
      </c>
    </row>
    <row r="52" spans="1:6" ht="16.2">
      <c r="A52" s="138" t="s">
        <v>322</v>
      </c>
      <c r="B52" s="141">
        <f>Jätehuolto!Q11</f>
        <v>56.7</v>
      </c>
      <c r="C52" s="142" t="s">
        <v>283</v>
      </c>
      <c r="D52" s="139" t="s">
        <v>284</v>
      </c>
      <c r="E52" s="142" t="s">
        <v>326</v>
      </c>
      <c r="F52" s="139" t="s">
        <v>325</v>
      </c>
    </row>
    <row r="53" spans="1:6" ht="16.2">
      <c r="A53" s="147" t="s">
        <v>249</v>
      </c>
      <c r="B53" s="141">
        <f>Jätehuolto!Q12</f>
        <v>119.3</v>
      </c>
      <c r="C53" s="142" t="s">
        <v>283</v>
      </c>
      <c r="D53" s="139" t="s">
        <v>284</v>
      </c>
      <c r="E53" s="142" t="s">
        <v>326</v>
      </c>
      <c r="F53" s="139" t="s">
        <v>325</v>
      </c>
    </row>
    <row r="54" spans="1:6" ht="16.2">
      <c r="A54" s="147" t="s">
        <v>282</v>
      </c>
      <c r="B54" s="141">
        <f>Jätehuolto!Q13</f>
        <v>365.87</v>
      </c>
      <c r="C54" s="142" t="s">
        <v>283</v>
      </c>
      <c r="D54" s="139" t="s">
        <v>284</v>
      </c>
      <c r="E54" s="142" t="s">
        <v>326</v>
      </c>
      <c r="F54" s="139" t="s">
        <v>325</v>
      </c>
    </row>
    <row r="55" spans="1:6" ht="16.2">
      <c r="A55" s="75" t="s">
        <v>411</v>
      </c>
      <c r="B55" s="141">
        <f>Jätehuolto!Q14</f>
        <v>0</v>
      </c>
      <c r="C55" s="142" t="s">
        <v>283</v>
      </c>
      <c r="D55" s="139">
        <v>2019</v>
      </c>
      <c r="E55" s="142" t="s">
        <v>327</v>
      </c>
      <c r="F55" s="139" t="s">
        <v>70</v>
      </c>
    </row>
    <row r="56" spans="1:6" ht="16.2">
      <c r="A56" s="501" t="s">
        <v>349</v>
      </c>
      <c r="B56" s="141">
        <f>Jätehuolto!Q15</f>
        <v>142.50000000000003</v>
      </c>
      <c r="C56" s="142" t="s">
        <v>283</v>
      </c>
      <c r="D56" s="139">
        <v>2019</v>
      </c>
      <c r="E56" s="142" t="s">
        <v>327</v>
      </c>
      <c r="F56" s="139" t="s">
        <v>70</v>
      </c>
    </row>
    <row r="57" spans="1:6" ht="16.2">
      <c r="A57" s="501" t="s">
        <v>350</v>
      </c>
      <c r="B57" s="141">
        <f>Jätehuolto!Q16</f>
        <v>136.80000000000001</v>
      </c>
      <c r="C57" s="142" t="s">
        <v>283</v>
      </c>
      <c r="D57" s="139">
        <v>2019</v>
      </c>
      <c r="E57" s="142" t="s">
        <v>327</v>
      </c>
      <c r="F57" s="139" t="s">
        <v>70</v>
      </c>
    </row>
    <row r="58" spans="1:6" ht="16.2">
      <c r="A58" s="501" t="s">
        <v>351</v>
      </c>
      <c r="B58" s="141">
        <f>Jätehuolto!Q17</f>
        <v>674.99999999999989</v>
      </c>
      <c r="C58" s="142" t="s">
        <v>283</v>
      </c>
      <c r="D58" s="139">
        <v>2019</v>
      </c>
      <c r="E58" s="142" t="s">
        <v>327</v>
      </c>
      <c r="F58" s="139" t="s">
        <v>70</v>
      </c>
    </row>
    <row r="59" spans="1:6" ht="16.2">
      <c r="A59" s="501" t="s">
        <v>352</v>
      </c>
      <c r="B59" s="141">
        <f>Jätehuolto!Q18</f>
        <v>1904.0000000000002</v>
      </c>
      <c r="C59" s="142" t="s">
        <v>283</v>
      </c>
      <c r="D59" s="139">
        <v>2019</v>
      </c>
      <c r="E59" s="142" t="s">
        <v>327</v>
      </c>
      <c r="F59" s="139" t="s">
        <v>70</v>
      </c>
    </row>
    <row r="60" spans="1:6" ht="16.2">
      <c r="A60" s="501" t="s">
        <v>353</v>
      </c>
      <c r="B60" s="141">
        <f>Jätehuolto!Q19</f>
        <v>400</v>
      </c>
      <c r="C60" s="142" t="s">
        <v>283</v>
      </c>
      <c r="D60" s="139">
        <v>2019</v>
      </c>
      <c r="E60" s="142" t="s">
        <v>327</v>
      </c>
      <c r="F60" s="139" t="s">
        <v>70</v>
      </c>
    </row>
    <row r="61" spans="1:6" ht="16.2">
      <c r="A61" s="501" t="s">
        <v>354</v>
      </c>
      <c r="B61" s="141">
        <f>Jätehuolto!Q20</f>
        <v>1000</v>
      </c>
      <c r="C61" s="142" t="s">
        <v>283</v>
      </c>
      <c r="D61" s="139">
        <v>2019</v>
      </c>
      <c r="E61" s="142" t="s">
        <v>327</v>
      </c>
      <c r="F61" s="139" t="s">
        <v>70</v>
      </c>
    </row>
    <row r="62" spans="1:6" ht="16.2">
      <c r="A62" s="501" t="s">
        <v>348</v>
      </c>
      <c r="B62" s="141">
        <f>Jätehuolto!Q21</f>
        <v>1852.5</v>
      </c>
      <c r="C62" s="142" t="s">
        <v>283</v>
      </c>
      <c r="D62" s="139">
        <v>2019</v>
      </c>
      <c r="E62" s="142" t="s">
        <v>327</v>
      </c>
      <c r="F62" s="139" t="s">
        <v>70</v>
      </c>
    </row>
    <row r="63" spans="1:6" ht="16.2">
      <c r="A63" s="501" t="s">
        <v>355</v>
      </c>
      <c r="B63" s="141">
        <f>Jätehuolto!Q22</f>
        <v>1170</v>
      </c>
      <c r="C63" s="142" t="s">
        <v>283</v>
      </c>
      <c r="D63" s="139">
        <v>2019</v>
      </c>
      <c r="E63" s="142" t="s">
        <v>327</v>
      </c>
      <c r="F63" s="139" t="s">
        <v>70</v>
      </c>
    </row>
    <row r="64" spans="1:6" ht="16.2">
      <c r="A64" s="501" t="s">
        <v>356</v>
      </c>
      <c r="B64" s="141">
        <f>Jätehuolto!Q23</f>
        <v>1125</v>
      </c>
      <c r="C64" s="142" t="s">
        <v>283</v>
      </c>
      <c r="D64" s="139">
        <v>2019</v>
      </c>
      <c r="E64" s="142" t="s">
        <v>327</v>
      </c>
      <c r="F64" s="139" t="s">
        <v>70</v>
      </c>
    </row>
    <row r="65" spans="1:9" ht="41.25" customHeight="1">
      <c r="A65" s="148" t="s">
        <v>323</v>
      </c>
      <c r="B65" s="227" t="s">
        <v>140</v>
      </c>
      <c r="C65" s="228" t="s">
        <v>65</v>
      </c>
      <c r="D65" s="228" t="s">
        <v>66</v>
      </c>
      <c r="E65" s="140" t="s">
        <v>67</v>
      </c>
      <c r="F65" s="109" t="s">
        <v>412</v>
      </c>
    </row>
    <row r="66" spans="1:9" ht="16.2">
      <c r="A66" s="138" t="s">
        <v>300</v>
      </c>
      <c r="B66" s="141">
        <v>0.55642999999999998</v>
      </c>
      <c r="C66" s="142" t="s">
        <v>73</v>
      </c>
      <c r="D66" s="139" t="s">
        <v>284</v>
      </c>
      <c r="E66" s="142" t="s">
        <v>326</v>
      </c>
      <c r="F66" s="76" t="s">
        <v>325</v>
      </c>
    </row>
    <row r="67" spans="1:9" ht="16.2">
      <c r="A67" s="138" t="s">
        <v>324</v>
      </c>
      <c r="B67" s="141">
        <v>0.70655000000000001</v>
      </c>
      <c r="C67" s="142" t="s">
        <v>73</v>
      </c>
      <c r="D67" s="139" t="s">
        <v>284</v>
      </c>
      <c r="E67" s="142" t="s">
        <v>326</v>
      </c>
      <c r="F67" s="76" t="s">
        <v>325</v>
      </c>
    </row>
    <row r="68" spans="1:9" ht="16.2">
      <c r="A68" s="138" t="s">
        <v>299</v>
      </c>
      <c r="B68" s="141">
        <v>0.50133000000000005</v>
      </c>
      <c r="C68" s="142" t="s">
        <v>73</v>
      </c>
      <c r="D68" s="139" t="s">
        <v>284</v>
      </c>
      <c r="E68" s="142" t="s">
        <v>326</v>
      </c>
      <c r="F68" s="76" t="s">
        <v>325</v>
      </c>
    </row>
    <row r="69" spans="1:9" ht="16.2">
      <c r="A69" s="458" t="s">
        <v>16</v>
      </c>
      <c r="B69" s="459">
        <v>0.43783</v>
      </c>
      <c r="C69" s="460" t="s">
        <v>73</v>
      </c>
      <c r="D69" s="461" t="s">
        <v>284</v>
      </c>
      <c r="E69" s="460" t="s">
        <v>326</v>
      </c>
      <c r="F69" s="462" t="s">
        <v>325</v>
      </c>
    </row>
    <row r="70" spans="1:9" ht="14.4">
      <c r="A70" s="358" t="s">
        <v>648</v>
      </c>
      <c r="B70" s="359"/>
      <c r="C70" s="359"/>
      <c r="D70" s="359"/>
      <c r="E70" s="359"/>
      <c r="F70" s="360"/>
    </row>
    <row r="71" spans="1:9" ht="33" customHeight="1">
      <c r="A71" s="546" t="s">
        <v>647</v>
      </c>
      <c r="B71" s="547"/>
      <c r="C71" s="547"/>
      <c r="D71" s="547"/>
      <c r="E71" s="362"/>
      <c r="F71" s="363"/>
    </row>
    <row r="72" spans="1:9">
      <c r="A72" s="364"/>
      <c r="B72" s="362"/>
      <c r="C72" s="362"/>
      <c r="D72" s="362"/>
      <c r="E72" s="362"/>
      <c r="F72" s="363"/>
    </row>
    <row r="73" spans="1:9">
      <c r="A73" s="364"/>
      <c r="B73" s="362"/>
      <c r="C73" s="362"/>
      <c r="D73" s="362"/>
      <c r="E73" s="362"/>
      <c r="F73" s="363"/>
    </row>
    <row r="74" spans="1:9" ht="14.4">
      <c r="A74" s="361" t="s">
        <v>300</v>
      </c>
      <c r="B74" s="362"/>
      <c r="C74" s="362"/>
      <c r="D74" s="362"/>
      <c r="E74" s="362"/>
      <c r="F74" s="363"/>
    </row>
    <row r="75" spans="1:9">
      <c r="A75" s="364" t="s">
        <v>503</v>
      </c>
      <c r="B75" s="362">
        <v>2.67</v>
      </c>
      <c r="C75" s="362" t="s">
        <v>498</v>
      </c>
      <c r="D75" s="366">
        <v>2014</v>
      </c>
      <c r="E75" s="365" t="s">
        <v>504</v>
      </c>
      <c r="F75" s="363"/>
      <c r="H75" s="83"/>
      <c r="I75" s="83"/>
    </row>
    <row r="76" spans="1:9">
      <c r="A76" s="364"/>
      <c r="B76" s="362">
        <v>3.21</v>
      </c>
      <c r="C76" s="362" t="s">
        <v>505</v>
      </c>
      <c r="D76" s="366">
        <v>2014</v>
      </c>
      <c r="E76" s="362" t="s">
        <v>504</v>
      </c>
      <c r="F76" s="363"/>
    </row>
    <row r="77" spans="1:9">
      <c r="A77" s="364" t="s">
        <v>506</v>
      </c>
      <c r="B77" s="366">
        <v>0.57000000000000028</v>
      </c>
      <c r="C77" s="362" t="s">
        <v>498</v>
      </c>
      <c r="D77" s="366">
        <v>2014</v>
      </c>
      <c r="E77" s="362" t="s">
        <v>504</v>
      </c>
      <c r="F77" s="363"/>
    </row>
    <row r="78" spans="1:9">
      <c r="A78" s="364"/>
      <c r="B78" s="362">
        <v>0.69</v>
      </c>
      <c r="C78" s="362" t="s">
        <v>505</v>
      </c>
      <c r="D78" s="366">
        <v>2014</v>
      </c>
      <c r="E78" s="362" t="s">
        <v>504</v>
      </c>
      <c r="F78" s="363"/>
    </row>
    <row r="79" spans="1:9">
      <c r="A79" s="364"/>
      <c r="B79" s="367">
        <f>B78/B80*0.277777777777777</f>
        <v>4.4470224284609301E-3</v>
      </c>
      <c r="C79" s="362" t="s">
        <v>507</v>
      </c>
      <c r="D79" s="366"/>
      <c r="E79" s="365" t="s">
        <v>536</v>
      </c>
      <c r="F79" s="363"/>
    </row>
    <row r="80" spans="1:9">
      <c r="A80" s="364" t="s">
        <v>508</v>
      </c>
      <c r="B80" s="362">
        <v>43.1</v>
      </c>
      <c r="C80" s="362" t="s">
        <v>509</v>
      </c>
      <c r="D80" s="366">
        <v>2014</v>
      </c>
      <c r="E80" s="362" t="s">
        <v>504</v>
      </c>
      <c r="F80" s="363"/>
    </row>
    <row r="81" spans="1:8">
      <c r="A81" s="364"/>
      <c r="B81" s="362">
        <v>35.9</v>
      </c>
      <c r="C81" s="362" t="s">
        <v>510</v>
      </c>
      <c r="D81" s="366">
        <v>2014</v>
      </c>
      <c r="E81" s="362" t="s">
        <v>504</v>
      </c>
      <c r="F81" s="363"/>
      <c r="H81" s="80"/>
    </row>
    <row r="82" spans="1:8" ht="14.4">
      <c r="A82" s="361" t="s">
        <v>462</v>
      </c>
      <c r="B82" s="366"/>
      <c r="C82" s="362"/>
      <c r="D82" s="366"/>
      <c r="E82" s="362"/>
      <c r="F82" s="363"/>
      <c r="H82" s="83"/>
    </row>
    <row r="83" spans="1:8">
      <c r="A83" s="364"/>
      <c r="B83" s="362"/>
      <c r="C83" s="362"/>
      <c r="D83" s="366"/>
      <c r="E83" s="365" t="s">
        <v>552</v>
      </c>
      <c r="F83" s="363"/>
    </row>
    <row r="84" spans="1:8">
      <c r="A84" s="368" t="s">
        <v>533</v>
      </c>
      <c r="B84" s="362">
        <f>0.35*(B75+B77)</f>
        <v>1.1339999999999999</v>
      </c>
      <c r="C84" s="362" t="s">
        <v>498</v>
      </c>
      <c r="D84" s="366">
        <v>2014</v>
      </c>
      <c r="E84" s="365" t="s">
        <v>534</v>
      </c>
      <c r="F84" s="363"/>
    </row>
    <row r="85" spans="1:8">
      <c r="A85" s="364" t="s">
        <v>508</v>
      </c>
      <c r="B85" s="362">
        <v>34.4</v>
      </c>
      <c r="C85" s="362" t="s">
        <v>510</v>
      </c>
      <c r="D85" s="366">
        <v>2014</v>
      </c>
      <c r="E85" s="362" t="s">
        <v>513</v>
      </c>
      <c r="F85" s="363"/>
    </row>
    <row r="86" spans="1:8">
      <c r="A86" s="364"/>
      <c r="B86" s="362"/>
      <c r="C86" s="362"/>
      <c r="D86" s="366"/>
      <c r="E86" s="362"/>
      <c r="F86" s="363"/>
    </row>
    <row r="87" spans="1:8" ht="14.4">
      <c r="A87" s="361" t="s">
        <v>463</v>
      </c>
      <c r="B87" s="362"/>
      <c r="C87" s="362"/>
      <c r="D87" s="366"/>
      <c r="E87" s="362"/>
      <c r="F87" s="363"/>
    </row>
    <row r="88" spans="1:8">
      <c r="A88" s="364" t="s">
        <v>514</v>
      </c>
      <c r="B88" s="362"/>
      <c r="C88" s="362"/>
      <c r="D88" s="366"/>
      <c r="E88" s="362"/>
      <c r="F88" s="363"/>
    </row>
    <row r="89" spans="1:8">
      <c r="A89" s="364" t="s">
        <v>503</v>
      </c>
      <c r="B89" s="362">
        <v>0</v>
      </c>
      <c r="C89" s="362"/>
      <c r="D89" s="366">
        <v>2014</v>
      </c>
      <c r="E89" s="362" t="s">
        <v>528</v>
      </c>
      <c r="F89" s="363"/>
    </row>
    <row r="90" spans="1:8" ht="13.5" customHeight="1">
      <c r="A90" s="364" t="s">
        <v>506</v>
      </c>
      <c r="B90" s="362">
        <v>1.24</v>
      </c>
      <c r="C90" s="362" t="s">
        <v>498</v>
      </c>
      <c r="D90" s="366">
        <v>2014</v>
      </c>
      <c r="E90" s="362" t="s">
        <v>504</v>
      </c>
      <c r="F90" s="363"/>
    </row>
    <row r="91" spans="1:8" ht="13.5" customHeight="1">
      <c r="A91" s="364" t="s">
        <v>508</v>
      </c>
      <c r="B91" s="362">
        <v>26.8</v>
      </c>
      <c r="C91" s="362" t="s">
        <v>509</v>
      </c>
      <c r="D91" s="366">
        <v>2014</v>
      </c>
      <c r="E91" s="362" t="s">
        <v>529</v>
      </c>
      <c r="F91" s="363"/>
    </row>
    <row r="92" spans="1:8">
      <c r="A92" s="364"/>
      <c r="B92" s="362"/>
      <c r="C92" s="362"/>
      <c r="D92" s="362"/>
      <c r="E92" s="362"/>
      <c r="F92" s="363"/>
    </row>
    <row r="93" spans="1:8">
      <c r="A93" s="394" t="s">
        <v>515</v>
      </c>
      <c r="B93" s="362"/>
      <c r="C93" s="362"/>
      <c r="D93" s="366"/>
      <c r="E93" s="366"/>
      <c r="F93" s="363"/>
    </row>
    <row r="94" spans="1:8">
      <c r="A94" s="364" t="s">
        <v>503</v>
      </c>
      <c r="B94" s="362">
        <v>2.42</v>
      </c>
      <c r="C94" s="362" t="s">
        <v>498</v>
      </c>
      <c r="D94" s="366">
        <v>2014</v>
      </c>
      <c r="E94" s="362" t="s">
        <v>528</v>
      </c>
      <c r="F94" s="363"/>
    </row>
    <row r="95" spans="1:8">
      <c r="A95" s="364" t="s">
        <v>506</v>
      </c>
      <c r="B95" s="362">
        <v>0.46</v>
      </c>
      <c r="C95" s="362" t="s">
        <v>498</v>
      </c>
      <c r="D95" s="366">
        <v>2014</v>
      </c>
      <c r="E95" s="362" t="s">
        <v>504</v>
      </c>
      <c r="F95" s="363"/>
    </row>
    <row r="96" spans="1:8">
      <c r="A96" s="364" t="s">
        <v>508</v>
      </c>
      <c r="B96" s="362">
        <v>43.2</v>
      </c>
      <c r="C96" s="362" t="s">
        <v>509</v>
      </c>
      <c r="D96" s="366">
        <v>2014</v>
      </c>
      <c r="E96" s="362" t="s">
        <v>529</v>
      </c>
      <c r="F96" s="363"/>
    </row>
    <row r="97" spans="1:7">
      <c r="A97" s="364"/>
      <c r="B97" s="362"/>
      <c r="C97" s="362"/>
      <c r="D97" s="362"/>
      <c r="E97" s="362"/>
      <c r="F97" s="363"/>
    </row>
    <row r="98" spans="1:7" ht="14.4">
      <c r="A98" s="361" t="s">
        <v>464</v>
      </c>
      <c r="B98" s="362"/>
      <c r="C98" s="362"/>
      <c r="D98" s="362"/>
      <c r="E98" s="362"/>
      <c r="F98" s="363"/>
    </row>
    <row r="99" spans="1:7">
      <c r="A99" s="364" t="s">
        <v>503</v>
      </c>
      <c r="B99" s="362">
        <v>0</v>
      </c>
      <c r="C99" s="362"/>
      <c r="D99" s="362"/>
      <c r="E99" s="362"/>
      <c r="F99" s="363"/>
    </row>
    <row r="100" spans="1:7">
      <c r="A100" s="364" t="s">
        <v>506</v>
      </c>
      <c r="B100" s="362">
        <v>1.1200000000000001</v>
      </c>
      <c r="C100" s="362" t="s">
        <v>505</v>
      </c>
      <c r="D100" s="362"/>
      <c r="E100" s="543" t="s">
        <v>535</v>
      </c>
      <c r="F100" s="544"/>
    </row>
    <row r="101" spans="1:7">
      <c r="A101" s="364" t="s">
        <v>508</v>
      </c>
      <c r="B101" s="362">
        <f>0.95*B106</f>
        <v>42.844999999999999</v>
      </c>
      <c r="C101" s="362" t="s">
        <v>509</v>
      </c>
      <c r="D101" s="362"/>
      <c r="E101" s="543"/>
      <c r="F101" s="544"/>
    </row>
    <row r="102" spans="1:7">
      <c r="A102" s="364"/>
      <c r="B102" s="362"/>
      <c r="C102" s="362"/>
      <c r="D102" s="362"/>
      <c r="E102" s="362"/>
      <c r="F102" s="363"/>
    </row>
    <row r="103" spans="1:7" ht="14.4">
      <c r="A103" s="361" t="s">
        <v>17</v>
      </c>
      <c r="B103" s="362"/>
      <c r="C103" s="362"/>
      <c r="D103" s="362"/>
      <c r="E103" s="362"/>
      <c r="F103" s="363"/>
    </row>
    <row r="104" spans="1:7">
      <c r="A104" s="364" t="s">
        <v>503</v>
      </c>
      <c r="B104" s="362">
        <v>2.68</v>
      </c>
      <c r="C104" s="362" t="s">
        <v>505</v>
      </c>
      <c r="D104" s="366">
        <v>2014</v>
      </c>
      <c r="E104" s="362" t="s">
        <v>528</v>
      </c>
      <c r="F104" s="363"/>
    </row>
    <row r="105" spans="1:7">
      <c r="A105" s="364" t="s">
        <v>506</v>
      </c>
      <c r="B105" s="362">
        <v>0.39</v>
      </c>
      <c r="C105" s="362" t="s">
        <v>505</v>
      </c>
      <c r="D105" s="366">
        <v>2014</v>
      </c>
      <c r="E105" s="362" t="s">
        <v>504</v>
      </c>
      <c r="F105" s="363"/>
    </row>
    <row r="106" spans="1:7">
      <c r="A106" s="364" t="s">
        <v>508</v>
      </c>
      <c r="B106" s="362">
        <v>45.1</v>
      </c>
      <c r="C106" s="362" t="s">
        <v>509</v>
      </c>
      <c r="D106" s="366">
        <v>2014</v>
      </c>
      <c r="E106" s="362" t="s">
        <v>529</v>
      </c>
      <c r="F106" s="363"/>
    </row>
    <row r="107" spans="1:7">
      <c r="A107" s="364"/>
      <c r="B107" s="362"/>
      <c r="C107" s="362"/>
      <c r="D107" s="362"/>
      <c r="E107" s="362"/>
      <c r="F107" s="363"/>
    </row>
    <row r="108" spans="1:7" ht="14.4">
      <c r="A108" s="361" t="s">
        <v>465</v>
      </c>
      <c r="B108" s="362"/>
      <c r="C108" s="362"/>
      <c r="D108" s="362"/>
      <c r="E108" s="362"/>
      <c r="F108" s="363"/>
    </row>
    <row r="109" spans="1:7" ht="48.75" customHeight="1">
      <c r="A109" s="364" t="s">
        <v>496</v>
      </c>
      <c r="B109" s="362">
        <v>0.158</v>
      </c>
      <c r="C109" s="362" t="s">
        <v>518</v>
      </c>
      <c r="D109" s="549" t="s">
        <v>624</v>
      </c>
      <c r="E109" s="549"/>
      <c r="F109" s="550"/>
    </row>
    <row r="110" spans="1:7" ht="24" customHeight="1">
      <c r="A110" s="364"/>
      <c r="B110" s="548" t="s">
        <v>539</v>
      </c>
      <c r="C110" s="548"/>
      <c r="D110" s="551" t="s">
        <v>520</v>
      </c>
      <c r="E110" s="551"/>
      <c r="F110" s="552"/>
    </row>
    <row r="111" spans="1:7" ht="51" customHeight="1">
      <c r="A111" s="369"/>
      <c r="B111" s="491">
        <f>B81/3.6/2.1*B109</f>
        <v>0.75029100529100523</v>
      </c>
      <c r="C111" s="490" t="s">
        <v>538</v>
      </c>
      <c r="D111" s="541" t="s">
        <v>521</v>
      </c>
      <c r="E111" s="541"/>
      <c r="F111" s="542"/>
      <c r="G111" s="67"/>
    </row>
    <row r="112" spans="1:7" ht="14.4">
      <c r="B112" s="224"/>
      <c r="C112" s="144"/>
      <c r="D112" s="145"/>
      <c r="E112" s="144"/>
      <c r="F112" s="110"/>
    </row>
    <row r="113" spans="1:6">
      <c r="A113" s="249" t="s">
        <v>27</v>
      </c>
      <c r="B113" s="225"/>
      <c r="C113" s="146"/>
      <c r="D113" s="146"/>
      <c r="E113" s="146"/>
    </row>
    <row r="114" spans="1:6">
      <c r="A114" s="249" t="s">
        <v>44</v>
      </c>
    </row>
    <row r="115" spans="1:6">
      <c r="A115" s="249" t="s">
        <v>260</v>
      </c>
      <c r="F115" s="146"/>
    </row>
    <row r="116" spans="1:6">
      <c r="A116" s="249" t="s">
        <v>402</v>
      </c>
      <c r="B116" s="225"/>
      <c r="D116" s="146"/>
      <c r="E116" s="146"/>
      <c r="F116" s="146"/>
    </row>
    <row r="117" spans="1:6">
      <c r="A117" s="249" t="s">
        <v>404</v>
      </c>
      <c r="B117" s="225"/>
      <c r="D117" s="146"/>
      <c r="E117" s="146"/>
      <c r="F117" s="146"/>
    </row>
    <row r="118" spans="1:6" ht="15">
      <c r="A118" s="249" t="s">
        <v>445</v>
      </c>
      <c r="B118" s="225"/>
      <c r="D118" s="146"/>
      <c r="E118" s="146"/>
      <c r="F118" s="146"/>
    </row>
    <row r="119" spans="1:6" ht="15">
      <c r="A119" s="249" t="s">
        <v>446</v>
      </c>
      <c r="B119" s="225"/>
      <c r="D119" s="146"/>
      <c r="E119" s="146"/>
      <c r="F119" s="146"/>
    </row>
    <row r="120" spans="1:6">
      <c r="A120" s="249" t="s">
        <v>91</v>
      </c>
      <c r="B120" s="225"/>
      <c r="D120" s="146"/>
      <c r="E120" s="146"/>
      <c r="F120" s="146"/>
    </row>
    <row r="121" spans="1:6" ht="15">
      <c r="A121" s="249" t="s">
        <v>447</v>
      </c>
      <c r="B121" s="225"/>
      <c r="C121" s="146"/>
      <c r="D121" s="83"/>
      <c r="E121" s="146"/>
      <c r="F121" s="146"/>
    </row>
    <row r="122" spans="1:6">
      <c r="A122" s="249" t="s">
        <v>288</v>
      </c>
      <c r="C122" s="146"/>
      <c r="D122" s="146"/>
      <c r="E122" s="146"/>
    </row>
    <row r="124" spans="1:6">
      <c r="A124" s="66" t="s">
        <v>235</v>
      </c>
    </row>
    <row r="125" spans="1:6">
      <c r="A125" s="85" t="s">
        <v>623</v>
      </c>
    </row>
    <row r="126" spans="1:6">
      <c r="A126" s="66" t="s">
        <v>330</v>
      </c>
    </row>
    <row r="127" spans="1:6">
      <c r="A127" s="66" t="s">
        <v>331</v>
      </c>
    </row>
    <row r="128" spans="1:6">
      <c r="A128" s="66" t="s">
        <v>332</v>
      </c>
    </row>
    <row r="129" spans="1:6">
      <c r="A129" s="66" t="s">
        <v>333</v>
      </c>
    </row>
    <row r="130" spans="1:6">
      <c r="A130" s="66" t="s">
        <v>334</v>
      </c>
      <c r="B130" s="226"/>
    </row>
    <row r="131" spans="1:6">
      <c r="A131" s="66" t="s">
        <v>390</v>
      </c>
      <c r="B131" s="226"/>
    </row>
    <row r="132" spans="1:6">
      <c r="A132" s="146" t="s">
        <v>335</v>
      </c>
    </row>
    <row r="133" spans="1:6">
      <c r="A133" s="85" t="s">
        <v>444</v>
      </c>
    </row>
    <row r="134" spans="1:6">
      <c r="A134" s="503" t="s">
        <v>627</v>
      </c>
    </row>
    <row r="135" spans="1:6">
      <c r="A135" s="85" t="s">
        <v>628</v>
      </c>
    </row>
    <row r="136" spans="1:6">
      <c r="B136" s="502"/>
    </row>
    <row r="139" spans="1:6" hidden="1"/>
    <row r="140" spans="1:6" hidden="1">
      <c r="A140" s="86" t="s">
        <v>138</v>
      </c>
    </row>
    <row r="141" spans="1:6" hidden="1">
      <c r="A141" s="151" t="s">
        <v>336</v>
      </c>
    </row>
    <row r="142" spans="1:6" hidden="1">
      <c r="A142" s="151" t="s">
        <v>337</v>
      </c>
    </row>
    <row r="143" spans="1:6" hidden="1">
      <c r="A143" s="151" t="s">
        <v>338</v>
      </c>
      <c r="B143" s="225"/>
      <c r="C143" s="146"/>
      <c r="D143" s="146"/>
      <c r="E143" s="146"/>
      <c r="F143" s="146"/>
    </row>
    <row r="144" spans="1:6" hidden="1">
      <c r="A144" s="152" t="s">
        <v>77</v>
      </c>
      <c r="B144" s="225"/>
      <c r="C144" s="146"/>
      <c r="D144" s="146"/>
      <c r="E144" s="146"/>
      <c r="F144" s="146"/>
    </row>
    <row r="145" spans="1:6" hidden="1">
      <c r="A145" s="151" t="s">
        <v>339</v>
      </c>
      <c r="B145" s="225"/>
      <c r="C145" s="146"/>
      <c r="D145" s="146"/>
      <c r="E145" s="146"/>
      <c r="F145" s="146"/>
    </row>
    <row r="146" spans="1:6" hidden="1">
      <c r="A146" s="152" t="s">
        <v>78</v>
      </c>
      <c r="B146" s="225"/>
      <c r="C146" s="146"/>
      <c r="D146" s="146"/>
      <c r="E146" s="146"/>
      <c r="F146" s="146"/>
    </row>
    <row r="147" spans="1:6" hidden="1">
      <c r="A147" s="151" t="s">
        <v>340</v>
      </c>
      <c r="B147" s="225"/>
      <c r="C147" s="146"/>
      <c r="D147" s="146"/>
      <c r="E147" s="146"/>
      <c r="F147" s="146"/>
    </row>
    <row r="148" spans="1:6" hidden="1">
      <c r="A148" s="152" t="s">
        <v>79</v>
      </c>
      <c r="B148" s="225"/>
      <c r="C148" s="146"/>
      <c r="D148" s="146"/>
      <c r="E148" s="146"/>
      <c r="F148" s="146"/>
    </row>
    <row r="149" spans="1:6" hidden="1">
      <c r="A149" s="151" t="s">
        <v>341</v>
      </c>
      <c r="B149" s="225"/>
      <c r="C149" s="146"/>
      <c r="D149" s="146"/>
      <c r="E149" s="146"/>
      <c r="F149" s="146"/>
    </row>
    <row r="150" spans="1:6" hidden="1">
      <c r="A150" s="151" t="s">
        <v>342</v>
      </c>
    </row>
    <row r="151" spans="1:6" hidden="1">
      <c r="A151" s="152" t="s">
        <v>80</v>
      </c>
    </row>
    <row r="152" spans="1:6" hidden="1">
      <c r="A152" s="86"/>
    </row>
    <row r="153" spans="1:6" hidden="1">
      <c r="A153" s="86" t="s">
        <v>27</v>
      </c>
    </row>
    <row r="154" spans="1:6" hidden="1">
      <c r="A154" s="86" t="s">
        <v>44</v>
      </c>
    </row>
    <row r="155" spans="1:6" hidden="1">
      <c r="A155" s="86" t="s">
        <v>236</v>
      </c>
    </row>
    <row r="156" spans="1:6" hidden="1">
      <c r="A156" s="86" t="s">
        <v>89</v>
      </c>
    </row>
    <row r="157" spans="1:6" hidden="1">
      <c r="A157" s="86" t="s">
        <v>90</v>
      </c>
    </row>
    <row r="158" spans="1:6" ht="15.6" hidden="1">
      <c r="A158" s="86" t="s">
        <v>343</v>
      </c>
    </row>
    <row r="159" spans="1:6" ht="15.6" hidden="1">
      <c r="A159" s="86" t="s">
        <v>344</v>
      </c>
    </row>
    <row r="160" spans="1:6" hidden="1">
      <c r="A160" s="86" t="s">
        <v>91</v>
      </c>
    </row>
    <row r="161" spans="1:1" hidden="1">
      <c r="A161" s="86" t="s">
        <v>92</v>
      </c>
    </row>
    <row r="162" spans="1:1" hidden="1">
      <c r="A162" s="86" t="s">
        <v>93</v>
      </c>
    </row>
  </sheetData>
  <sheetProtection algorithmName="SHA-512" hashValue="54o/g1/hEECFl1SG0gC+St4CQAkd1e1u34XTIdoLgiiO7+m5luzizC8OzkSp94K/5sdabBE5nV33xZ/betOnvg==" saltValue="HqOQajTQFudoQZMpMO0zXg==" spinCount="100000" sheet="1" objects="1" scenarios="1"/>
  <mergeCells count="7">
    <mergeCell ref="D111:F111"/>
    <mergeCell ref="E100:F101"/>
    <mergeCell ref="G38:L38"/>
    <mergeCell ref="A71:D71"/>
    <mergeCell ref="B110:C110"/>
    <mergeCell ref="D109:F109"/>
    <mergeCell ref="D110:F110"/>
  </mergeCells>
  <phoneticPr fontId="11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AE66"/>
  <sheetViews>
    <sheetView topLeftCell="AF1" zoomScaleNormal="100" workbookViewId="0">
      <selection activeCell="AQ26" sqref="AQ26"/>
    </sheetView>
  </sheetViews>
  <sheetFormatPr defaultRowHeight="13.2"/>
  <cols>
    <col min="1" max="1" width="48.33203125" hidden="1" customWidth="1"/>
    <col min="2" max="3" width="20.44140625" hidden="1" customWidth="1"/>
    <col min="4" max="4" width="22.44140625" hidden="1" customWidth="1"/>
    <col min="5" max="5" width="22" hidden="1" customWidth="1"/>
    <col min="6" max="6" width="19.88671875" hidden="1" customWidth="1"/>
    <col min="7" max="7" width="26.6640625" hidden="1" customWidth="1"/>
    <col min="8" max="8" width="20" hidden="1" customWidth="1"/>
    <col min="9" max="9" width="29.109375" hidden="1" customWidth="1"/>
    <col min="10" max="10" width="26.109375" hidden="1" customWidth="1"/>
    <col min="11" max="12" width="25.5546875" style="25" hidden="1" customWidth="1"/>
    <col min="13" max="13" width="19.44140625" hidden="1" customWidth="1"/>
    <col min="14" max="14" width="19.88671875" hidden="1" customWidth="1"/>
    <col min="15" max="15" width="24.109375" hidden="1" customWidth="1"/>
    <col min="16" max="16" width="17.88671875" hidden="1" customWidth="1"/>
    <col min="17" max="17" width="22.88671875" hidden="1" customWidth="1"/>
    <col min="18" max="18" width="24.109375" hidden="1" customWidth="1"/>
    <col min="19" max="19" width="27.109375" hidden="1" customWidth="1"/>
    <col min="20" max="20" width="13.88671875" hidden="1" customWidth="1"/>
    <col min="21" max="21" width="14.88671875" hidden="1" customWidth="1"/>
    <col min="22" max="22" width="26.6640625" hidden="1" customWidth="1"/>
    <col min="23" max="23" width="27" hidden="1" customWidth="1"/>
    <col min="24" max="24" width="28.5546875" hidden="1" customWidth="1"/>
    <col min="25" max="25" width="24.6640625" hidden="1" customWidth="1"/>
    <col min="26" max="26" width="22.44140625" hidden="1" customWidth="1"/>
    <col min="27" max="27" width="20.44140625" hidden="1" customWidth="1"/>
    <col min="28" max="28" width="23.109375" hidden="1" customWidth="1"/>
    <col min="29" max="29" width="25.33203125" hidden="1" customWidth="1"/>
    <col min="30" max="30" width="33.109375" hidden="1" customWidth="1"/>
    <col min="31" max="31" width="17.5546875" hidden="1" customWidth="1"/>
    <col min="32" max="32" width="43.88671875" customWidth="1"/>
    <col min="33" max="36" width="9.109375" customWidth="1"/>
  </cols>
  <sheetData>
    <row r="1" spans="1:31">
      <c r="A1" s="4" t="s">
        <v>470</v>
      </c>
    </row>
    <row r="2" spans="1:31">
      <c r="A2" s="80" t="s">
        <v>421</v>
      </c>
      <c r="B2" s="25"/>
      <c r="C2" s="25"/>
    </row>
    <row r="3" spans="1:31" s="25" customFormat="1">
      <c r="A3" s="294" t="s">
        <v>471</v>
      </c>
    </row>
    <row r="4" spans="1:31" s="229" customFormat="1">
      <c r="A4" s="304" t="s">
        <v>454</v>
      </c>
    </row>
    <row r="5" spans="1:31">
      <c r="A5" s="271" t="s">
        <v>487</v>
      </c>
      <c r="J5" s="25"/>
    </row>
    <row r="6" spans="1:31">
      <c r="A6" s="271" t="s">
        <v>488</v>
      </c>
      <c r="J6" s="25"/>
    </row>
    <row r="7" spans="1:31">
      <c r="A7" s="271"/>
      <c r="J7" s="25"/>
    </row>
    <row r="8" spans="1:31" ht="54">
      <c r="A8" s="28" t="s">
        <v>272</v>
      </c>
      <c r="B8" s="28" t="s">
        <v>234</v>
      </c>
      <c r="C8" s="126" t="s">
        <v>232</v>
      </c>
      <c r="D8" s="28" t="s">
        <v>427</v>
      </c>
      <c r="E8" s="285" t="s">
        <v>452</v>
      </c>
      <c r="F8" s="107" t="s">
        <v>329</v>
      </c>
      <c r="G8" s="214" t="s">
        <v>430</v>
      </c>
      <c r="H8" s="311" t="s">
        <v>475</v>
      </c>
      <c r="I8" s="311" t="s">
        <v>476</v>
      </c>
      <c r="J8" s="311" t="s">
        <v>483</v>
      </c>
      <c r="K8" s="314" t="s">
        <v>481</v>
      </c>
      <c r="L8" s="315" t="s">
        <v>461</v>
      </c>
      <c r="O8" s="80" t="s">
        <v>320</v>
      </c>
      <c r="P8" s="22" t="s">
        <v>384</v>
      </c>
      <c r="T8" t="s">
        <v>206</v>
      </c>
      <c r="V8" s="107" t="s">
        <v>197</v>
      </c>
      <c r="W8" s="80" t="s">
        <v>302</v>
      </c>
      <c r="X8" t="s">
        <v>198</v>
      </c>
      <c r="Y8" t="s">
        <v>199</v>
      </c>
      <c r="Z8" t="s">
        <v>200</v>
      </c>
      <c r="AA8" t="s">
        <v>201</v>
      </c>
      <c r="AB8" t="s">
        <v>202</v>
      </c>
      <c r="AC8" t="s">
        <v>203</v>
      </c>
      <c r="AD8" t="s">
        <v>204</v>
      </c>
      <c r="AE8" t="s">
        <v>205</v>
      </c>
    </row>
    <row r="9" spans="1:31" ht="14.4">
      <c r="A9" s="91" t="s">
        <v>174</v>
      </c>
      <c r="B9" s="240">
        <v>1</v>
      </c>
      <c r="C9" s="240">
        <v>1.2</v>
      </c>
      <c r="D9" s="135">
        <f t="shared" ref="D9:D14" si="0">W42</f>
        <v>186.4</v>
      </c>
      <c r="E9" s="136">
        <f>D9*B9/1000</f>
        <v>0.18640000000000001</v>
      </c>
      <c r="F9" s="150">
        <f t="shared" ref="F9:F14" si="1">O9/(P9*1000)</f>
        <v>7.8571957975054257E-2</v>
      </c>
      <c r="G9" s="210">
        <f>F9*$S$56</f>
        <v>4.3719794576059436E-2</v>
      </c>
      <c r="H9" s="312"/>
      <c r="I9" s="313" t="s">
        <v>463</v>
      </c>
      <c r="J9" s="319">
        <f>K9+L9</f>
        <v>4.554146725666011E-3</v>
      </c>
      <c r="K9" s="316">
        <f>F9*O17</f>
        <v>0</v>
      </c>
      <c r="L9" s="316">
        <f>G9*R17</f>
        <v>4.554146725666011E-3</v>
      </c>
      <c r="O9" s="102">
        <f t="shared" ref="O9:O14" si="2">D9*B9</f>
        <v>186.4</v>
      </c>
      <c r="P9">
        <f>V9</f>
        <v>2.3723476518070226</v>
      </c>
      <c r="R9" t="s">
        <v>212</v>
      </c>
      <c r="S9" t="s">
        <v>208</v>
      </c>
      <c r="V9">
        <f>W9*0.83</f>
        <v>2.3723476518070226</v>
      </c>
      <c r="W9" s="97">
        <v>2.8582501829000275</v>
      </c>
      <c r="X9">
        <v>9.8297975144290609E-4</v>
      </c>
      <c r="Y9">
        <v>2.9607047177143296E-4</v>
      </c>
      <c r="Z9">
        <v>1.1872406565192228E-2</v>
      </c>
      <c r="AA9">
        <v>9.0372439086401299E-4</v>
      </c>
      <c r="AB9">
        <v>1.6794227142867865E-5</v>
      </c>
      <c r="AC9">
        <v>7.5455196597891695E-5</v>
      </c>
      <c r="AD9">
        <v>1.1467453874070935E-5</v>
      </c>
      <c r="AE9">
        <v>3.4207694148919172</v>
      </c>
    </row>
    <row r="10" spans="1:31" ht="14.4">
      <c r="A10" s="91" t="s">
        <v>213</v>
      </c>
      <c r="B10" s="240">
        <v>1</v>
      </c>
      <c r="C10" s="240">
        <v>3.5</v>
      </c>
      <c r="D10" s="135">
        <f>W43</f>
        <v>297.8</v>
      </c>
      <c r="E10" s="136">
        <f t="shared" ref="E10:E14" si="3">D10*B10/1000</f>
        <v>0.29780000000000001</v>
      </c>
      <c r="F10" s="150">
        <f t="shared" si="1"/>
        <v>0.12313582351650014</v>
      </c>
      <c r="G10" s="210">
        <f>F10*$S$56</f>
        <v>6.8516466279286176E-2</v>
      </c>
      <c r="H10" s="312"/>
      <c r="I10" s="313" t="s">
        <v>463</v>
      </c>
      <c r="J10" s="319">
        <f t="shared" ref="J10:J14" si="4">K10+L10</f>
        <v>7.0947764013503764E-2</v>
      </c>
      <c r="K10" s="316">
        <f>F10*O18</f>
        <v>2.4659413103843394E-2</v>
      </c>
      <c r="L10" s="316">
        <f t="shared" ref="L10:L14" si="5">G10*R18</f>
        <v>4.6288350909660367E-2</v>
      </c>
      <c r="O10" s="102">
        <f t="shared" si="2"/>
        <v>297.8</v>
      </c>
      <c r="P10">
        <f>V10</f>
        <v>2.4184676034598085</v>
      </c>
      <c r="R10" t="s">
        <v>211</v>
      </c>
      <c r="S10" t="s">
        <v>208</v>
      </c>
      <c r="V10">
        <f>W10*0.83</f>
        <v>2.4184676034598085</v>
      </c>
      <c r="W10" s="97">
        <v>2.9138163897106129</v>
      </c>
      <c r="X10">
        <v>2.3591933113265126E-3</v>
      </c>
      <c r="Y10">
        <v>7.4865899710367851E-4</v>
      </c>
      <c r="Z10">
        <v>1.20291943838445E-2</v>
      </c>
      <c r="AA10">
        <v>3.8039181550245164E-4</v>
      </c>
      <c r="AB10">
        <v>9.0786722844729868E-5</v>
      </c>
      <c r="AC10">
        <v>2.9390293058661283E-4</v>
      </c>
      <c r="AD10">
        <v>1.1467453874070938E-5</v>
      </c>
      <c r="AE10">
        <v>3.4207694148919177</v>
      </c>
    </row>
    <row r="11" spans="1:31" ht="14.4">
      <c r="A11" s="91" t="s">
        <v>175</v>
      </c>
      <c r="B11" s="244">
        <v>1</v>
      </c>
      <c r="C11" s="240">
        <v>9</v>
      </c>
      <c r="D11" s="135">
        <f t="shared" si="0"/>
        <v>497</v>
      </c>
      <c r="E11" s="136">
        <f t="shared" si="3"/>
        <v>0.497</v>
      </c>
      <c r="F11" s="150">
        <f t="shared" si="1"/>
        <v>0.20758310414428827</v>
      </c>
      <c r="G11" s="210">
        <f t="shared" ref="G11:G14" si="6">F11*$S$56</f>
        <v>0.11550546663900632</v>
      </c>
      <c r="H11" s="312"/>
      <c r="I11" s="313" t="s">
        <v>463</v>
      </c>
      <c r="J11" s="319">
        <f t="shared" si="4"/>
        <v>3.3368166723392031E-2</v>
      </c>
      <c r="K11" s="316">
        <f t="shared" ref="K11:K13" si="7">F11*O19</f>
        <v>0</v>
      </c>
      <c r="L11" s="316">
        <f t="shared" si="5"/>
        <v>3.3368166723392031E-2</v>
      </c>
      <c r="O11" s="102">
        <f t="shared" si="2"/>
        <v>497</v>
      </c>
      <c r="P11">
        <f>V11</f>
        <v>2.3942218324981877</v>
      </c>
      <c r="R11" t="s">
        <v>210</v>
      </c>
      <c r="S11" t="s">
        <v>208</v>
      </c>
      <c r="V11">
        <f>W11*0.83</f>
        <v>2.3942218324981877</v>
      </c>
      <c r="W11" s="97">
        <v>2.884604617467696</v>
      </c>
      <c r="X11">
        <v>5.0028535896856257E-3</v>
      </c>
      <c r="Y11">
        <v>7.6012381265117977E-4</v>
      </c>
      <c r="Z11">
        <v>2.259216695743228E-2</v>
      </c>
      <c r="AA11">
        <v>3.7395701049470765E-4</v>
      </c>
      <c r="AB11">
        <v>5.9068802431482945E-5</v>
      </c>
      <c r="AC11">
        <v>1.7846011747777157E-4</v>
      </c>
      <c r="AD11">
        <v>1.1467453874070938E-5</v>
      </c>
      <c r="AE11">
        <v>3.4207694148919177</v>
      </c>
    </row>
    <row r="12" spans="1:31" ht="14.4">
      <c r="A12" s="91" t="s">
        <v>176</v>
      </c>
      <c r="B12" s="240">
        <v>1</v>
      </c>
      <c r="C12" s="240">
        <v>25</v>
      </c>
      <c r="D12" s="135">
        <f t="shared" si="0"/>
        <v>962</v>
      </c>
      <c r="E12" s="136">
        <f t="shared" si="3"/>
        <v>0.96199999999999997</v>
      </c>
      <c r="F12" s="150">
        <f t="shared" si="1"/>
        <v>0.40481927710843379</v>
      </c>
      <c r="G12" s="210">
        <f t="shared" si="6"/>
        <v>0.22525359036144582</v>
      </c>
      <c r="H12" s="312"/>
      <c r="I12" s="313" t="s">
        <v>463</v>
      </c>
      <c r="J12" s="319">
        <f t="shared" si="4"/>
        <v>0.49244374406024388</v>
      </c>
      <c r="K12" s="316">
        <f t="shared" si="7"/>
        <v>0.32299193182749697</v>
      </c>
      <c r="L12" s="316">
        <f t="shared" si="5"/>
        <v>0.16945181223274691</v>
      </c>
      <c r="O12" s="102">
        <f t="shared" si="2"/>
        <v>962</v>
      </c>
      <c r="P12">
        <f>V12</f>
        <v>2.3763690476190473</v>
      </c>
      <c r="R12" t="s">
        <v>207</v>
      </c>
      <c r="S12" s="96" t="s">
        <v>208</v>
      </c>
      <c r="T12" s="97"/>
      <c r="U12" s="97"/>
      <c r="V12">
        <f>W12*0.83</f>
        <v>2.3763690476190473</v>
      </c>
      <c r="W12" s="97">
        <v>2.8630952380952381</v>
      </c>
      <c r="X12" s="97">
        <v>1.3984509466437179E-3</v>
      </c>
      <c r="Y12" s="97">
        <v>2.7610441767068276E-4</v>
      </c>
      <c r="Z12" s="97">
        <v>1.900458978772232E-2</v>
      </c>
      <c r="AA12" s="97">
        <v>1.7211703958691914E-4</v>
      </c>
      <c r="AB12" s="97">
        <v>1.6135972461273668E-5</v>
      </c>
      <c r="AC12">
        <v>1.0398737808376363E-4</v>
      </c>
      <c r="AD12">
        <v>1.1474469305794608E-5</v>
      </c>
      <c r="AE12">
        <v>3.4172403901319566</v>
      </c>
    </row>
    <row r="13" spans="1:31" ht="14.4">
      <c r="A13" s="91" t="s">
        <v>177</v>
      </c>
      <c r="B13" s="240">
        <v>1</v>
      </c>
      <c r="C13" s="240">
        <v>40</v>
      </c>
      <c r="D13" s="135">
        <f t="shared" si="0"/>
        <v>1205</v>
      </c>
      <c r="E13" s="136">
        <f t="shared" si="3"/>
        <v>1.2050000000000001</v>
      </c>
      <c r="F13" s="150">
        <f t="shared" si="1"/>
        <v>0.5072289156626506</v>
      </c>
      <c r="G13" s="210">
        <f t="shared" si="6"/>
        <v>0.28223738554216865</v>
      </c>
      <c r="H13" s="312"/>
      <c r="I13" s="313" t="s">
        <v>463</v>
      </c>
      <c r="J13" s="319">
        <f t="shared" si="4"/>
        <v>0.17741355212908297</v>
      </c>
      <c r="K13" s="316">
        <f t="shared" si="7"/>
        <v>0</v>
      </c>
      <c r="L13" s="316">
        <f t="shared" si="5"/>
        <v>0.17741355212908297</v>
      </c>
      <c r="O13" s="102">
        <f t="shared" si="2"/>
        <v>1205</v>
      </c>
      <c r="P13">
        <f>V13</f>
        <v>2.3756532066508314</v>
      </c>
      <c r="R13" t="s">
        <v>209</v>
      </c>
      <c r="S13" t="s">
        <v>208</v>
      </c>
      <c r="V13">
        <f>W13*0.83</f>
        <v>2.3756532066508314</v>
      </c>
      <c r="W13" s="97">
        <v>2.8622327790973872</v>
      </c>
      <c r="X13">
        <v>1.488137824456973E-3</v>
      </c>
      <c r="Y13">
        <v>2.8618035085711016E-4</v>
      </c>
      <c r="Z13">
        <v>1.8601722805712161E-2</v>
      </c>
      <c r="AA13">
        <v>1.7743181753140832E-4</v>
      </c>
      <c r="AB13">
        <v>1.6026099647998168E-5</v>
      </c>
      <c r="AC13">
        <v>8.2992301748561963E-5</v>
      </c>
      <c r="AD13">
        <v>1.1447214034284407E-5</v>
      </c>
      <c r="AE13">
        <v>3.4255787997596086</v>
      </c>
    </row>
    <row r="14" spans="1:31">
      <c r="A14" s="92" t="s">
        <v>122</v>
      </c>
      <c r="B14" s="240">
        <v>1</v>
      </c>
      <c r="C14" s="240">
        <v>51</v>
      </c>
      <c r="D14" s="298">
        <f t="shared" si="0"/>
        <v>1432</v>
      </c>
      <c r="E14" s="300">
        <f t="shared" si="3"/>
        <v>1.4319999999999999</v>
      </c>
      <c r="F14" s="299">
        <f t="shared" si="1"/>
        <v>0.60278158276258564</v>
      </c>
      <c r="G14" s="210">
        <f t="shared" si="6"/>
        <v>0.33540575609658552</v>
      </c>
      <c r="H14" s="312"/>
      <c r="I14" s="313" t="s">
        <v>463</v>
      </c>
      <c r="J14" s="319">
        <f t="shared" si="4"/>
        <v>3.4938110773586196E-2</v>
      </c>
      <c r="K14" s="316">
        <f>F14*O22</f>
        <v>0</v>
      </c>
      <c r="L14" s="316">
        <f t="shared" si="5"/>
        <v>3.4938110773586196E-2</v>
      </c>
      <c r="O14" s="102">
        <f t="shared" si="2"/>
        <v>1432</v>
      </c>
      <c r="P14">
        <f>V13</f>
        <v>2.3756532066508314</v>
      </c>
      <c r="R14" t="s">
        <v>209</v>
      </c>
      <c r="S14" t="s">
        <v>385</v>
      </c>
      <c r="V14">
        <f>V13</f>
        <v>2.3756532066508314</v>
      </c>
    </row>
    <row r="15" spans="1:31">
      <c r="A15" s="286"/>
      <c r="B15" s="287"/>
      <c r="C15" s="287"/>
      <c r="D15" s="301"/>
      <c r="E15" s="297"/>
      <c r="F15" s="302"/>
      <c r="G15" s="302"/>
      <c r="H15" s="303"/>
      <c r="I15" s="288"/>
      <c r="J15" s="288"/>
      <c r="K15" s="317"/>
      <c r="L15" s="318"/>
      <c r="O15" s="102"/>
    </row>
    <row r="16" spans="1:31" ht="55.2">
      <c r="A16" s="293" t="s">
        <v>453</v>
      </c>
      <c r="B16" s="55" t="s">
        <v>218</v>
      </c>
      <c r="C16" s="55" t="s">
        <v>429</v>
      </c>
      <c r="G16" s="214" t="s">
        <v>482</v>
      </c>
      <c r="H16" s="311" t="s">
        <v>475</v>
      </c>
      <c r="I16" s="311" t="s">
        <v>476</v>
      </c>
      <c r="J16" s="311" t="s">
        <v>483</v>
      </c>
      <c r="K16" s="314" t="s">
        <v>481</v>
      </c>
      <c r="L16" s="315" t="s">
        <v>461</v>
      </c>
      <c r="M16" s="288"/>
      <c r="N16" t="s">
        <v>473</v>
      </c>
      <c r="O16" s="212" t="s">
        <v>474</v>
      </c>
      <c r="Q16" t="s">
        <v>490</v>
      </c>
      <c r="R16" t="s">
        <v>474</v>
      </c>
      <c r="U16" s="102" t="s">
        <v>469</v>
      </c>
      <c r="Z16" t="s">
        <v>477</v>
      </c>
    </row>
    <row r="17" spans="1:29">
      <c r="A17" s="91" t="s">
        <v>174</v>
      </c>
      <c r="B17" s="240">
        <v>1</v>
      </c>
      <c r="C17" s="295">
        <f t="shared" ref="C17:C22" si="8">B17*$V$26</f>
        <v>2.3854520914476214</v>
      </c>
      <c r="G17" s="296">
        <f t="shared" ref="G17:G22" si="9">B17*$S$56*0.83</f>
        <v>0.46183689999999994</v>
      </c>
      <c r="H17" s="312"/>
      <c r="I17" s="313" t="s">
        <v>462</v>
      </c>
      <c r="J17" s="313">
        <f>K17+L17</f>
        <v>4.8108025811229999E-2</v>
      </c>
      <c r="K17" s="316">
        <f>C17*O17</f>
        <v>0</v>
      </c>
      <c r="L17" s="316">
        <f t="shared" ref="L17:L22" si="10">G17*R17</f>
        <v>4.8108025811229999E-2</v>
      </c>
      <c r="M17" t="s">
        <v>462</v>
      </c>
      <c r="N17">
        <f>U18*W18</f>
        <v>0</v>
      </c>
      <c r="O17" s="212">
        <f t="shared" ref="O17:O22" si="11">INDEX($M$17:$N$21,MATCH(I17,$M$17:$M$21,0),2)</f>
        <v>0</v>
      </c>
      <c r="P17" t="s">
        <v>462</v>
      </c>
      <c r="Q17">
        <f>W18*V18</f>
        <v>0.10416670000000001</v>
      </c>
      <c r="R17">
        <f t="shared" ref="R17:R22" si="12">INDEX($P$17:$Q$21,MATCH(I17,$P$17:$P$21,0),2)</f>
        <v>0.10416670000000001</v>
      </c>
      <c r="S17" s="102"/>
      <c r="U17" t="s">
        <v>466</v>
      </c>
      <c r="V17" s="271" t="s">
        <v>489</v>
      </c>
      <c r="W17" t="s">
        <v>468</v>
      </c>
      <c r="Z17" t="s">
        <v>462</v>
      </c>
      <c r="AA17" t="s">
        <v>478</v>
      </c>
      <c r="AB17" t="s">
        <v>467</v>
      </c>
      <c r="AC17" t="s">
        <v>479</v>
      </c>
    </row>
    <row r="18" spans="1:29">
      <c r="A18" s="91" t="s">
        <v>213</v>
      </c>
      <c r="B18" s="240">
        <v>1</v>
      </c>
      <c r="C18" s="295">
        <f t="shared" si="8"/>
        <v>2.3854520914476214</v>
      </c>
      <c r="G18" s="296">
        <f t="shared" si="9"/>
        <v>0.46183689999999994</v>
      </c>
      <c r="H18" s="312"/>
      <c r="I18" s="313" t="s">
        <v>463</v>
      </c>
      <c r="J18" s="313">
        <f t="shared" ref="J18:J22" si="13">K18+L18</f>
        <v>0.78972290143023782</v>
      </c>
      <c r="K18" s="316">
        <f t="shared" ref="K18:K22" si="14">C18*O18</f>
        <v>0.47771515130648989</v>
      </c>
      <c r="L18" s="316">
        <f t="shared" si="10"/>
        <v>0.31200775012374793</v>
      </c>
      <c r="M18" t="s">
        <v>463</v>
      </c>
      <c r="N18" s="102">
        <f>U19*W19</f>
        <v>0.2002618929213483</v>
      </c>
      <c r="O18" s="212">
        <f t="shared" si="11"/>
        <v>0.2002618929213483</v>
      </c>
      <c r="P18" t="s">
        <v>463</v>
      </c>
      <c r="Q18">
        <f>W19*V19</f>
        <v>0.67557995067901233</v>
      </c>
      <c r="R18">
        <f t="shared" si="12"/>
        <v>0.67557995067901233</v>
      </c>
      <c r="S18" s="102"/>
      <c r="T18" t="s">
        <v>462</v>
      </c>
      <c r="U18">
        <v>0</v>
      </c>
      <c r="V18">
        <v>0.10000000000000002</v>
      </c>
      <c r="W18">
        <v>1.0416669999999999</v>
      </c>
      <c r="Z18" t="s">
        <v>463</v>
      </c>
      <c r="AA18">
        <v>0</v>
      </c>
      <c r="AB18">
        <v>0.10000000000000002</v>
      </c>
      <c r="AC18">
        <v>1.0416669999999999</v>
      </c>
    </row>
    <row r="19" spans="1:29">
      <c r="A19" s="91" t="s">
        <v>175</v>
      </c>
      <c r="B19" s="240">
        <v>1</v>
      </c>
      <c r="C19" s="295">
        <f t="shared" si="8"/>
        <v>2.3854520914476214</v>
      </c>
      <c r="G19" s="296">
        <f t="shared" si="9"/>
        <v>0.46183689999999994</v>
      </c>
      <c r="H19" s="312"/>
      <c r="I19" s="313" t="s">
        <v>464</v>
      </c>
      <c r="J19" s="313">
        <f t="shared" si="13"/>
        <v>0.13341923223753582</v>
      </c>
      <c r="K19" s="316">
        <f t="shared" si="14"/>
        <v>0</v>
      </c>
      <c r="L19" s="316">
        <f t="shared" si="10"/>
        <v>0.13341923223753582</v>
      </c>
      <c r="M19" t="s">
        <v>464</v>
      </c>
      <c r="N19">
        <f>U20*W20</f>
        <v>0</v>
      </c>
      <c r="O19" s="212">
        <f t="shared" si="11"/>
        <v>0</v>
      </c>
      <c r="P19" t="s">
        <v>464</v>
      </c>
      <c r="Q19">
        <f>W20*V20</f>
        <v>0.28888820325430004</v>
      </c>
      <c r="R19">
        <f t="shared" si="12"/>
        <v>0.28888820325430004</v>
      </c>
      <c r="T19" t="s">
        <v>463</v>
      </c>
      <c r="U19" s="102">
        <v>0.13595505617977527</v>
      </c>
      <c r="V19">
        <v>0.45864197530864192</v>
      </c>
      <c r="W19">
        <v>1.4730007000000001</v>
      </c>
      <c r="Z19" t="s">
        <v>464</v>
      </c>
      <c r="AA19" s="102">
        <v>0.13595505617977527</v>
      </c>
      <c r="AB19">
        <v>0.45864197530864192</v>
      </c>
      <c r="AC19">
        <v>1.4730007000000001</v>
      </c>
    </row>
    <row r="20" spans="1:29">
      <c r="A20" s="91" t="s">
        <v>176</v>
      </c>
      <c r="B20" s="240">
        <v>1</v>
      </c>
      <c r="C20" s="295">
        <f t="shared" si="8"/>
        <v>2.3854520914476214</v>
      </c>
      <c r="G20" s="296">
        <f t="shared" si="9"/>
        <v>0.46183689999999994</v>
      </c>
      <c r="H20" s="312"/>
      <c r="I20" s="313" t="s">
        <v>17</v>
      </c>
      <c r="J20" s="313">
        <f t="shared" si="13"/>
        <v>2.2507000900743619</v>
      </c>
      <c r="K20" s="316">
        <f t="shared" si="14"/>
        <v>1.9032734429102569</v>
      </c>
      <c r="L20" s="316">
        <f t="shared" si="10"/>
        <v>0.3474266471641051</v>
      </c>
      <c r="M20" t="s">
        <v>17</v>
      </c>
      <c r="N20" s="102">
        <f>U21*W21</f>
        <v>0.79786697445482868</v>
      </c>
      <c r="O20" s="212">
        <f t="shared" si="11"/>
        <v>0.79786697445482868</v>
      </c>
      <c r="P20" t="s">
        <v>17</v>
      </c>
      <c r="Q20">
        <f>W21*V21</f>
        <v>0.75227130435897427</v>
      </c>
      <c r="R20">
        <f t="shared" si="12"/>
        <v>0.75227130435897427</v>
      </c>
      <c r="T20" t="s">
        <v>464</v>
      </c>
      <c r="U20" s="102">
        <v>0</v>
      </c>
      <c r="V20">
        <v>0.28717900000000002</v>
      </c>
      <c r="W20">
        <v>1.0059517</v>
      </c>
      <c r="Z20" t="s">
        <v>17</v>
      </c>
      <c r="AA20" s="102">
        <v>0</v>
      </c>
      <c r="AB20">
        <v>0.34890965732087231</v>
      </c>
      <c r="AC20">
        <v>1.0059517</v>
      </c>
    </row>
    <row r="21" spans="1:29">
      <c r="A21" s="91" t="s">
        <v>177</v>
      </c>
      <c r="B21" s="240">
        <v>1</v>
      </c>
      <c r="C21" s="295">
        <f t="shared" si="8"/>
        <v>2.3854520914476214</v>
      </c>
      <c r="G21" s="296">
        <f t="shared" si="9"/>
        <v>0.46183689999999994</v>
      </c>
      <c r="H21" s="312"/>
      <c r="I21" s="313" t="s">
        <v>465</v>
      </c>
      <c r="J21" s="313">
        <f t="shared" si="13"/>
        <v>0.29030925430338539</v>
      </c>
      <c r="K21" s="316">
        <f t="shared" si="14"/>
        <v>0</v>
      </c>
      <c r="L21" s="316">
        <f t="shared" si="10"/>
        <v>0.29030925430338539</v>
      </c>
      <c r="M21" t="s">
        <v>465</v>
      </c>
      <c r="N21">
        <f>U22*W22</f>
        <v>0</v>
      </c>
      <c r="O21" s="212">
        <f t="shared" si="11"/>
        <v>0</v>
      </c>
      <c r="P21" t="s">
        <v>465</v>
      </c>
      <c r="Q21">
        <f>W22*V22</f>
        <v>0.62859692307692483</v>
      </c>
      <c r="R21">
        <f t="shared" si="12"/>
        <v>0.62859692307692483</v>
      </c>
      <c r="T21" t="s">
        <v>17</v>
      </c>
      <c r="U21" s="102">
        <v>0.83489096573208732</v>
      </c>
      <c r="V21">
        <v>0.78717948717948716</v>
      </c>
      <c r="W21">
        <v>0.95565409999999995</v>
      </c>
      <c r="Z21" t="s">
        <v>465</v>
      </c>
      <c r="AA21" s="102">
        <v>0.83489096573208732</v>
      </c>
      <c r="AB21">
        <v>0.78717948717948716</v>
      </c>
      <c r="AC21">
        <v>0.95565409999999995</v>
      </c>
    </row>
    <row r="22" spans="1:29">
      <c r="A22" s="92" t="s">
        <v>122</v>
      </c>
      <c r="B22" s="240">
        <v>1</v>
      </c>
      <c r="C22" s="295">
        <f t="shared" si="8"/>
        <v>2.3854520914476214</v>
      </c>
      <c r="G22" s="296">
        <f t="shared" si="9"/>
        <v>0.46183689999999994</v>
      </c>
      <c r="H22" s="312"/>
      <c r="I22" s="313" t="s">
        <v>462</v>
      </c>
      <c r="J22" s="313">
        <f t="shared" si="13"/>
        <v>4.8108025811229999E-2</v>
      </c>
      <c r="K22" s="316">
        <f t="shared" si="14"/>
        <v>0</v>
      </c>
      <c r="L22" s="316">
        <f t="shared" si="10"/>
        <v>4.8108025811229999E-2</v>
      </c>
      <c r="M22" s="288"/>
      <c r="O22" s="212">
        <f t="shared" si="11"/>
        <v>0</v>
      </c>
      <c r="R22">
        <f t="shared" si="12"/>
        <v>0.10416670000000001</v>
      </c>
      <c r="T22" t="s">
        <v>465</v>
      </c>
      <c r="U22" s="102">
        <v>0</v>
      </c>
      <c r="V22">
        <v>6.2859692307692479</v>
      </c>
      <c r="W22">
        <v>0.1</v>
      </c>
      <c r="AA22" s="102">
        <v>0</v>
      </c>
      <c r="AB22">
        <v>6.2859692307692479</v>
      </c>
      <c r="AC22">
        <v>0.1</v>
      </c>
    </row>
    <row r="23" spans="1:29" ht="13.8">
      <c r="A23" s="130"/>
      <c r="B23" s="213"/>
      <c r="C23" s="213" t="s">
        <v>383</v>
      </c>
      <c r="D23" s="289">
        <f>SUM(E9:E14)+SUM(C17:C22)</f>
        <v>18.892912548685729</v>
      </c>
      <c r="F23" s="321" t="s">
        <v>484</v>
      </c>
      <c r="G23" s="292">
        <f>SUM(G17:G22,G9:G14)</f>
        <v>3.8416598594945515</v>
      </c>
      <c r="H23" s="287"/>
      <c r="I23" s="288"/>
      <c r="J23" s="211"/>
      <c r="K23" s="212"/>
      <c r="L23" s="212"/>
    </row>
    <row r="24" spans="1:29">
      <c r="A24" s="130"/>
      <c r="B24" s="287"/>
      <c r="C24" s="290" t="s">
        <v>480</v>
      </c>
      <c r="D24" s="320">
        <f>SUM(K9:K14,K17:K22)</f>
        <v>2.7286399391480871</v>
      </c>
      <c r="G24" s="290">
        <f>SUM(L9:L14,L17:L22)</f>
        <v>1.6453930749453687</v>
      </c>
      <c r="I24" s="288"/>
      <c r="J24" s="211"/>
      <c r="K24" s="212"/>
      <c r="L24" s="212"/>
      <c r="U24" s="102"/>
    </row>
    <row r="25" spans="1:29" hidden="1">
      <c r="A25" s="130"/>
      <c r="B25" s="287"/>
      <c r="C25" s="287"/>
      <c r="D25" s="292"/>
      <c r="F25" s="290"/>
      <c r="G25" s="290"/>
      <c r="H25" s="287"/>
      <c r="I25" s="288"/>
      <c r="J25" s="211"/>
      <c r="K25" s="212"/>
      <c r="L25" s="212"/>
      <c r="U25" s="102"/>
    </row>
    <row r="26" spans="1:29" ht="34.5" customHeight="1">
      <c r="A26" s="130"/>
      <c r="B26" s="287"/>
      <c r="C26" s="321" t="s">
        <v>485</v>
      </c>
      <c r="D26" s="322">
        <f>(1-(D24/D23))*-1</f>
        <v>-0.85557335682803959</v>
      </c>
      <c r="F26" s="323" t="s">
        <v>485</v>
      </c>
      <c r="G26" s="322">
        <f>(1-(G24/G23))*-1</f>
        <v>-0.57169735605852057</v>
      </c>
      <c r="H26" s="287"/>
      <c r="I26" s="288"/>
      <c r="J26" s="211"/>
      <c r="K26" s="212"/>
      <c r="L26" s="212"/>
      <c r="U26" s="102">
        <v>0</v>
      </c>
      <c r="V26" s="209">
        <f>AVERAGE(P9:P14)</f>
        <v>2.3854520914476214</v>
      </c>
    </row>
    <row r="27" spans="1:29" ht="27.9" customHeight="1">
      <c r="A27" s="130"/>
      <c r="F27" s="26"/>
      <c r="G27" s="26"/>
      <c r="H27" s="110"/>
      <c r="I27" s="291"/>
      <c r="J27" s="211"/>
      <c r="K27" s="211"/>
      <c r="L27" s="211"/>
      <c r="M27" s="102"/>
      <c r="N27" s="102"/>
      <c r="O27" s="102"/>
    </row>
    <row r="28" spans="1:29" ht="26.4" customHeight="1">
      <c r="B28" s="131"/>
      <c r="C28" s="131"/>
      <c r="E28" s="26"/>
      <c r="F28" s="26"/>
      <c r="G28" s="26"/>
      <c r="H28" s="26"/>
      <c r="I28" s="26"/>
      <c r="J28" s="211"/>
      <c r="K28" s="211"/>
      <c r="L28" s="211"/>
      <c r="M28" s="102"/>
      <c r="V28" s="97">
        <f>U28*0.83</f>
        <v>0</v>
      </c>
    </row>
    <row r="29" spans="1:29" ht="55.2">
      <c r="H29" s="214" t="s">
        <v>430</v>
      </c>
      <c r="J29" s="211"/>
      <c r="K29" s="211"/>
      <c r="L29" s="211"/>
    </row>
    <row r="30" spans="1:29" ht="15.6">
      <c r="A30" s="4" t="s">
        <v>273</v>
      </c>
      <c r="B30" s="305" t="s">
        <v>234</v>
      </c>
      <c r="C30" s="28" t="s">
        <v>233</v>
      </c>
      <c r="D30" s="28" t="s">
        <v>433</v>
      </c>
      <c r="E30" s="28" t="s">
        <v>431</v>
      </c>
      <c r="F30" s="37"/>
      <c r="G30" s="37"/>
      <c r="H30" s="207" t="s">
        <v>382</v>
      </c>
      <c r="K30" s="56"/>
      <c r="L30" s="56"/>
      <c r="M30" s="80" t="s">
        <v>321</v>
      </c>
      <c r="N30" s="80" t="s">
        <v>316</v>
      </c>
    </row>
    <row r="31" spans="1:29">
      <c r="A31" s="23" t="s">
        <v>275</v>
      </c>
      <c r="B31" s="242">
        <v>0</v>
      </c>
      <c r="C31" s="242">
        <v>0</v>
      </c>
      <c r="D31" s="112">
        <v>4.2000000000000003E-2</v>
      </c>
      <c r="E31" s="30">
        <f>C31*D31*B31</f>
        <v>0</v>
      </c>
      <c r="H31" s="210">
        <f>M31*B31*C31*$N$31</f>
        <v>0</v>
      </c>
      <c r="K31" s="211"/>
      <c r="L31" s="211"/>
      <c r="M31">
        <v>1.2999999999999999E-2</v>
      </c>
      <c r="N31">
        <v>0.43783</v>
      </c>
      <c r="O31">
        <f>188346/59860</f>
        <v>3.1464416972936853</v>
      </c>
      <c r="U31" s="80" t="s">
        <v>223</v>
      </c>
      <c r="V31" s="80" t="s">
        <v>224</v>
      </c>
      <c r="W31" s="80" t="s">
        <v>225</v>
      </c>
      <c r="X31" s="80" t="s">
        <v>226</v>
      </c>
      <c r="Y31" s="80" t="s">
        <v>227</v>
      </c>
      <c r="Z31" s="80" t="s">
        <v>230</v>
      </c>
    </row>
    <row r="32" spans="1:29">
      <c r="A32" s="23" t="s">
        <v>276</v>
      </c>
      <c r="B32" s="240">
        <v>0</v>
      </c>
      <c r="C32" s="240">
        <v>0</v>
      </c>
      <c r="D32" s="31">
        <v>2.8000000000000001E-2</v>
      </c>
      <c r="E32" s="8">
        <f>C32*D32*B32</f>
        <v>0</v>
      </c>
      <c r="H32" s="206">
        <f>M32*B32*C32*$N$31</f>
        <v>0</v>
      </c>
      <c r="K32" s="211"/>
      <c r="L32" s="211"/>
      <c r="M32">
        <v>8.8999999999999999E-3</v>
      </c>
      <c r="O32">
        <f>252034/80396</f>
        <v>3.1349072093138961</v>
      </c>
      <c r="Q32" s="114"/>
      <c r="S32" s="91" t="s">
        <v>174</v>
      </c>
      <c r="U32" s="105">
        <v>185</v>
      </c>
      <c r="V32" s="106">
        <v>186.4</v>
      </c>
      <c r="W32">
        <v>1.2</v>
      </c>
      <c r="X32">
        <f t="shared" ref="X32:X37" si="15">(V32-U32)/W32</f>
        <v>1.1666666666666714</v>
      </c>
      <c r="Y32" s="80">
        <f t="shared" ref="Y32:Y37" si="16">1/W32</f>
        <v>0.83333333333333337</v>
      </c>
      <c r="Z32" s="102">
        <f t="shared" ref="Z32:Z37" si="17">V32-U32</f>
        <v>1.4000000000000057</v>
      </c>
    </row>
    <row r="33" spans="1:26" ht="13.8">
      <c r="A33" s="23"/>
      <c r="C33" s="213"/>
      <c r="D33" s="213" t="s">
        <v>386</v>
      </c>
      <c r="E33" s="51">
        <f>E32+E31</f>
        <v>0</v>
      </c>
      <c r="H33" s="17"/>
      <c r="K33" s="211"/>
      <c r="L33" s="211"/>
      <c r="Q33" s="114"/>
      <c r="S33" s="91" t="s">
        <v>213</v>
      </c>
      <c r="U33" s="105">
        <v>287</v>
      </c>
      <c r="V33" s="101">
        <v>297.8</v>
      </c>
      <c r="W33">
        <v>3.5</v>
      </c>
      <c r="X33">
        <f t="shared" si="15"/>
        <v>3.085714285714289</v>
      </c>
      <c r="Y33" s="80">
        <f t="shared" si="16"/>
        <v>0.2857142857142857</v>
      </c>
      <c r="Z33" s="102">
        <f t="shared" si="17"/>
        <v>10.800000000000011</v>
      </c>
    </row>
    <row r="34" spans="1:26" ht="15.6">
      <c r="A34" s="4" t="s">
        <v>274</v>
      </c>
      <c r="B34" s="305" t="s">
        <v>234</v>
      </c>
      <c r="C34" s="28" t="s">
        <v>233</v>
      </c>
      <c r="D34" s="28" t="s">
        <v>433</v>
      </c>
      <c r="E34" s="28" t="s">
        <v>428</v>
      </c>
      <c r="F34" s="37"/>
      <c r="G34" s="37"/>
      <c r="H34" s="207" t="s">
        <v>300</v>
      </c>
      <c r="K34" s="56"/>
      <c r="L34" s="56"/>
      <c r="Q34" s="134"/>
      <c r="S34" s="91" t="s">
        <v>175</v>
      </c>
      <c r="U34" s="105">
        <v>436</v>
      </c>
      <c r="V34" s="101">
        <v>497</v>
      </c>
      <c r="W34">
        <v>9</v>
      </c>
      <c r="X34">
        <f t="shared" si="15"/>
        <v>6.7777777777777777</v>
      </c>
      <c r="Y34" s="80">
        <f t="shared" si="16"/>
        <v>0.1111111111111111</v>
      </c>
      <c r="Z34" s="102">
        <f t="shared" si="17"/>
        <v>61</v>
      </c>
    </row>
    <row r="35" spans="1:26">
      <c r="A35" s="23" t="s">
        <v>30</v>
      </c>
      <c r="B35" s="242">
        <v>0</v>
      </c>
      <c r="C35" s="242">
        <v>0</v>
      </c>
      <c r="D35" s="306">
        <v>2.5499999999999998E-2</v>
      </c>
      <c r="E35" s="30">
        <f>C35*D35*B35</f>
        <v>0</v>
      </c>
      <c r="H35" s="210">
        <f>M35*B35*C35</f>
        <v>0</v>
      </c>
      <c r="K35" s="211"/>
      <c r="L35" s="211"/>
      <c r="M35" s="149">
        <v>8.0000000000000002E-3</v>
      </c>
      <c r="Q35" s="124"/>
      <c r="S35" s="91" t="s">
        <v>176</v>
      </c>
      <c r="T35" s="98"/>
      <c r="U35" s="101">
        <v>630</v>
      </c>
      <c r="V35" s="101">
        <v>962</v>
      </c>
      <c r="W35">
        <v>25</v>
      </c>
      <c r="X35">
        <f t="shared" si="15"/>
        <v>13.28</v>
      </c>
      <c r="Y35" s="80">
        <f t="shared" si="16"/>
        <v>0.04</v>
      </c>
      <c r="Z35" s="102">
        <f t="shared" si="17"/>
        <v>332</v>
      </c>
    </row>
    <row r="36" spans="1:26">
      <c r="A36" s="23" t="s">
        <v>29</v>
      </c>
      <c r="B36" s="240">
        <v>0</v>
      </c>
      <c r="C36" s="240">
        <v>0</v>
      </c>
      <c r="D36" s="93">
        <v>5.0000000000000001E-3</v>
      </c>
      <c r="E36" s="8">
        <f>C36*D36*B36</f>
        <v>0</v>
      </c>
      <c r="H36" s="17"/>
      <c r="K36" s="211"/>
      <c r="L36" s="211"/>
      <c r="Q36" s="124"/>
      <c r="S36" s="91" t="s">
        <v>177</v>
      </c>
      <c r="T36" s="98"/>
      <c r="U36" s="101">
        <v>796</v>
      </c>
      <c r="V36" s="101">
        <v>1205</v>
      </c>
      <c r="W36">
        <v>40</v>
      </c>
      <c r="X36">
        <f t="shared" si="15"/>
        <v>10.225</v>
      </c>
      <c r="Y36" s="80">
        <f t="shared" si="16"/>
        <v>2.5000000000000001E-2</v>
      </c>
      <c r="Z36" s="102">
        <f t="shared" si="17"/>
        <v>409</v>
      </c>
    </row>
    <row r="37" spans="1:26" ht="13.8">
      <c r="A37" s="25"/>
      <c r="C37" s="213"/>
      <c r="D37" s="213" t="s">
        <v>387</v>
      </c>
      <c r="E37" s="51">
        <f>E35+E36</f>
        <v>0</v>
      </c>
      <c r="H37" s="17"/>
      <c r="K37" s="211"/>
      <c r="L37" s="211"/>
      <c r="Q37" s="124"/>
      <c r="S37" s="92" t="s">
        <v>122</v>
      </c>
      <c r="T37" s="98"/>
      <c r="U37" s="101">
        <v>872</v>
      </c>
      <c r="V37" s="101">
        <v>1432</v>
      </c>
      <c r="W37">
        <v>51</v>
      </c>
      <c r="X37">
        <f t="shared" si="15"/>
        <v>10.980392156862745</v>
      </c>
      <c r="Y37" s="80">
        <f t="shared" si="16"/>
        <v>1.9607843137254902E-2</v>
      </c>
      <c r="Z37" s="102">
        <f t="shared" si="17"/>
        <v>560</v>
      </c>
    </row>
    <row r="38" spans="1:26">
      <c r="D38" s="80"/>
      <c r="H38" s="17"/>
      <c r="K38" s="211"/>
      <c r="L38" s="211"/>
      <c r="Q38" s="124"/>
      <c r="T38" s="98"/>
      <c r="U38" s="101"/>
      <c r="V38" s="101"/>
    </row>
    <row r="39" spans="1:26" ht="15.6">
      <c r="A39" s="22" t="s">
        <v>291</v>
      </c>
      <c r="B39" s="305" t="s">
        <v>234</v>
      </c>
      <c r="C39" s="28" t="s">
        <v>233</v>
      </c>
      <c r="D39" s="28" t="s">
        <v>432</v>
      </c>
      <c r="E39" s="28" t="s">
        <v>428</v>
      </c>
      <c r="F39" s="37"/>
      <c r="G39" s="37"/>
      <c r="H39" s="207" t="s">
        <v>299</v>
      </c>
      <c r="K39" s="56"/>
      <c r="L39" s="56"/>
      <c r="N39" s="4" t="s">
        <v>290</v>
      </c>
      <c r="O39" s="133" t="s">
        <v>315</v>
      </c>
      <c r="Q39" s="124"/>
      <c r="T39" s="98"/>
    </row>
    <row r="40" spans="1:26" ht="14.4">
      <c r="A40" s="24" t="s">
        <v>312</v>
      </c>
      <c r="B40" s="242">
        <v>0</v>
      </c>
      <c r="C40" s="242">
        <v>0</v>
      </c>
      <c r="D40" s="307">
        <v>1.05</v>
      </c>
      <c r="E40" s="30">
        <f>C40*B40*D40</f>
        <v>0</v>
      </c>
      <c r="H40" s="210">
        <f>C40*N40*S49*$T$49*B40</f>
        <v>0</v>
      </c>
      <c r="K40" s="211"/>
      <c r="L40" s="211"/>
      <c r="N40">
        <v>0.48</v>
      </c>
      <c r="O40" s="133">
        <f>1.14/0.45</f>
        <v>2.5333333333333332</v>
      </c>
      <c r="Q40" s="124"/>
    </row>
    <row r="41" spans="1:26" ht="14.4">
      <c r="A41" s="23" t="s">
        <v>313</v>
      </c>
      <c r="B41" s="240">
        <v>0</v>
      </c>
      <c r="C41" s="240">
        <v>0</v>
      </c>
      <c r="D41" s="132">
        <v>0.97</v>
      </c>
      <c r="E41" s="8">
        <f>C41*B41*D41</f>
        <v>0</v>
      </c>
      <c r="H41" s="17">
        <f>C41*N41*S50*$T$49*B41</f>
        <v>0</v>
      </c>
      <c r="K41" s="211"/>
      <c r="L41" s="211"/>
      <c r="N41">
        <v>0.39</v>
      </c>
      <c r="O41" s="133">
        <f>0.82/0.33</f>
        <v>2.4848484848484844</v>
      </c>
      <c r="T41" s="80" t="s">
        <v>228</v>
      </c>
      <c r="U41" s="80" t="s">
        <v>231</v>
      </c>
      <c r="V41" s="80" t="s">
        <v>229</v>
      </c>
      <c r="W41" s="80" t="s">
        <v>319</v>
      </c>
      <c r="X41" s="104" t="s">
        <v>318</v>
      </c>
    </row>
    <row r="42" spans="1:26" ht="14.4">
      <c r="A42" s="23" t="s">
        <v>314</v>
      </c>
      <c r="B42" s="240">
        <v>0</v>
      </c>
      <c r="C42" s="244">
        <v>0</v>
      </c>
      <c r="D42" s="132">
        <v>0.63</v>
      </c>
      <c r="E42" s="8">
        <f>C42*B42*D42</f>
        <v>0</v>
      </c>
      <c r="H42" s="17">
        <f>C42*N42*S51*$T$49*B42</f>
        <v>0</v>
      </c>
      <c r="K42" s="211"/>
      <c r="L42" s="211"/>
      <c r="N42">
        <v>0.25</v>
      </c>
      <c r="O42" s="133">
        <f>0.63/0.25</f>
        <v>2.52</v>
      </c>
      <c r="S42" s="91" t="s">
        <v>174</v>
      </c>
      <c r="T42">
        <f t="shared" ref="T42:U47" si="18">B9</f>
        <v>1</v>
      </c>
      <c r="U42">
        <f t="shared" si="18"/>
        <v>1.2</v>
      </c>
      <c r="V42" s="100">
        <f t="shared" ref="V42:V47" si="19">U42/W32</f>
        <v>1</v>
      </c>
      <c r="W42" s="137">
        <f>U32+V42*Z32</f>
        <v>186.4</v>
      </c>
      <c r="X42" s="137">
        <f t="shared" ref="X42:X47" si="20">T42*U32+V42*Z32</f>
        <v>186.4</v>
      </c>
    </row>
    <row r="43" spans="1:26" ht="13.8">
      <c r="A43" s="25"/>
      <c r="B43" s="25"/>
      <c r="C43" s="213"/>
      <c r="D43" s="213" t="s">
        <v>388</v>
      </c>
      <c r="E43" s="51">
        <f>E40+E41+E42</f>
        <v>0</v>
      </c>
      <c r="S43" s="91" t="s">
        <v>213</v>
      </c>
      <c r="T43">
        <f t="shared" si="18"/>
        <v>1</v>
      </c>
      <c r="U43">
        <f t="shared" si="18"/>
        <v>3.5</v>
      </c>
      <c r="V43" s="100">
        <f t="shared" si="19"/>
        <v>1</v>
      </c>
      <c r="W43" s="137">
        <f t="shared" ref="W43:W47" si="21">U33+V43*Z33</f>
        <v>297.8</v>
      </c>
      <c r="X43" s="137">
        <f t="shared" si="20"/>
        <v>297.8</v>
      </c>
    </row>
    <row r="44" spans="1:26" ht="13.8" thickBot="1">
      <c r="B44" s="25"/>
      <c r="C44" s="25"/>
      <c r="D44" s="26"/>
      <c r="E44" s="26"/>
      <c r="F44" s="25"/>
      <c r="G44" s="312" t="s">
        <v>486</v>
      </c>
      <c r="H44" s="26"/>
      <c r="S44" s="91" t="s">
        <v>175</v>
      </c>
      <c r="T44">
        <f t="shared" si="18"/>
        <v>1</v>
      </c>
      <c r="U44">
        <f t="shared" si="18"/>
        <v>9</v>
      </c>
      <c r="V44" s="100">
        <f t="shared" si="19"/>
        <v>1</v>
      </c>
      <c r="W44" s="137">
        <f t="shared" si="21"/>
        <v>497</v>
      </c>
      <c r="X44" s="137">
        <f t="shared" si="20"/>
        <v>497</v>
      </c>
    </row>
    <row r="45" spans="1:26" ht="13.8" thickBot="1">
      <c r="B45" s="60"/>
      <c r="C45" s="60"/>
      <c r="D45" s="215"/>
      <c r="E45" s="216" t="s">
        <v>310</v>
      </c>
      <c r="F45" s="217">
        <f>D23+E33+E37+E43</f>
        <v>18.892912548685729</v>
      </c>
      <c r="G45" s="324">
        <f>D24</f>
        <v>2.7286399391480871</v>
      </c>
      <c r="H45" s="52"/>
      <c r="S45" s="91" t="s">
        <v>176</v>
      </c>
      <c r="T45">
        <f t="shared" si="18"/>
        <v>1</v>
      </c>
      <c r="U45">
        <f t="shared" si="18"/>
        <v>25</v>
      </c>
      <c r="V45" s="100">
        <f t="shared" si="19"/>
        <v>1</v>
      </c>
      <c r="W45" s="137">
        <f t="shared" si="21"/>
        <v>962</v>
      </c>
      <c r="X45" s="137">
        <f t="shared" si="20"/>
        <v>962</v>
      </c>
    </row>
    <row r="46" spans="1:26" ht="13.8" thickBot="1">
      <c r="B46" s="60"/>
      <c r="C46" s="60"/>
      <c r="D46" s="215"/>
      <c r="E46" s="216" t="s">
        <v>311</v>
      </c>
      <c r="F46" s="217">
        <f>SUM(G9:G14,G17:G22,H30:H42)</f>
        <v>3.841659859494551</v>
      </c>
      <c r="G46" s="324">
        <f>G24</f>
        <v>1.6453930749453687</v>
      </c>
      <c r="H46" s="52"/>
      <c r="I46" s="22"/>
      <c r="J46" s="22"/>
      <c r="K46" s="22"/>
      <c r="L46" s="22"/>
      <c r="M46" s="103"/>
      <c r="S46" s="91" t="s">
        <v>177</v>
      </c>
      <c r="T46">
        <f t="shared" si="18"/>
        <v>1</v>
      </c>
      <c r="U46">
        <f t="shared" si="18"/>
        <v>40</v>
      </c>
      <c r="V46" s="100">
        <f t="shared" si="19"/>
        <v>1</v>
      </c>
      <c r="W46" s="137">
        <f t="shared" si="21"/>
        <v>1205</v>
      </c>
      <c r="X46" s="137">
        <f t="shared" si="20"/>
        <v>1205</v>
      </c>
    </row>
    <row r="47" spans="1:26" ht="16.8" thickBot="1">
      <c r="B47" s="60"/>
      <c r="C47" s="60"/>
      <c r="D47" s="184"/>
      <c r="E47" s="218" t="s">
        <v>64</v>
      </c>
      <c r="F47" s="185">
        <f>F45+F46</f>
        <v>22.734572408180281</v>
      </c>
      <c r="G47" s="325">
        <f>G24+D24</f>
        <v>4.374033014093456</v>
      </c>
      <c r="H47" s="186" t="s">
        <v>426</v>
      </c>
      <c r="S47" s="92" t="s">
        <v>122</v>
      </c>
      <c r="T47">
        <f t="shared" si="18"/>
        <v>1</v>
      </c>
      <c r="U47">
        <f t="shared" si="18"/>
        <v>51</v>
      </c>
      <c r="V47" s="100">
        <f t="shared" si="19"/>
        <v>1</v>
      </c>
      <c r="W47" s="137">
        <f t="shared" si="21"/>
        <v>1432</v>
      </c>
      <c r="X47" s="137">
        <f t="shared" si="20"/>
        <v>1432</v>
      </c>
    </row>
    <row r="48" spans="1:26">
      <c r="S48" s="114" t="s">
        <v>298</v>
      </c>
      <c r="T48" s="80" t="s">
        <v>309</v>
      </c>
    </row>
    <row r="49" spans="1:20" ht="14.4">
      <c r="R49" s="80" t="s">
        <v>299</v>
      </c>
      <c r="S49" s="115">
        <v>0.50133000000000005</v>
      </c>
      <c r="T49">
        <v>0.82</v>
      </c>
    </row>
    <row r="50" spans="1:20" ht="14.4">
      <c r="S50" s="115">
        <v>0.50133000000000005</v>
      </c>
    </row>
    <row r="51" spans="1:20" ht="14.4">
      <c r="S51" s="115">
        <v>0.50133000000000005</v>
      </c>
    </row>
    <row r="52" spans="1:20" ht="14.4">
      <c r="S52" s="115">
        <v>0.50133000000000005</v>
      </c>
    </row>
    <row r="53" spans="1:20">
      <c r="A53" s="80" t="s">
        <v>27</v>
      </c>
      <c r="S53" s="25"/>
    </row>
    <row r="54" spans="1:20">
      <c r="A54" s="80" t="s">
        <v>317</v>
      </c>
      <c r="S54" s="25"/>
    </row>
    <row r="55" spans="1:20">
      <c r="A55" s="80" t="s">
        <v>214</v>
      </c>
      <c r="S55" s="114" t="s">
        <v>298</v>
      </c>
    </row>
    <row r="56" spans="1:20" ht="14.4">
      <c r="A56" s="80" t="s">
        <v>219</v>
      </c>
      <c r="R56" s="80" t="s">
        <v>300</v>
      </c>
      <c r="S56" s="111">
        <v>0.55642999999999998</v>
      </c>
    </row>
    <row r="57" spans="1:20">
      <c r="A57" s="80" t="s">
        <v>277</v>
      </c>
      <c r="R57" s="80" t="s">
        <v>303</v>
      </c>
      <c r="S57" s="25">
        <v>0.70655000000000001</v>
      </c>
    </row>
    <row r="58" spans="1:20" ht="14.4">
      <c r="A58" s="80" t="s">
        <v>301</v>
      </c>
      <c r="S58" s="115">
        <v>0.50133000000000005</v>
      </c>
    </row>
    <row r="59" spans="1:20" ht="14.4">
      <c r="F59" s="1"/>
      <c r="G59" s="1"/>
      <c r="S59">
        <v>0.43783</v>
      </c>
    </row>
    <row r="60" spans="1:20" s="114" customFormat="1" ht="14.4">
      <c r="A60" s="80" t="s">
        <v>137</v>
      </c>
      <c r="B60" s="117"/>
      <c r="C60" s="117"/>
      <c r="D60" s="117"/>
      <c r="E60" s="117"/>
    </row>
    <row r="61" spans="1:20" ht="14.4">
      <c r="A61" s="117" t="s">
        <v>215</v>
      </c>
      <c r="F61" s="1"/>
      <c r="G61" s="1"/>
      <c r="S61" s="111">
        <v>0.55642999999999998</v>
      </c>
    </row>
    <row r="62" spans="1:20" ht="14.4">
      <c r="A62" s="80" t="s">
        <v>289</v>
      </c>
      <c r="F62" s="1"/>
      <c r="G62" s="1"/>
    </row>
    <row r="63" spans="1:20" hidden="1">
      <c r="A63" s="80" t="s">
        <v>389</v>
      </c>
    </row>
    <row r="65" spans="1:7" ht="14.4" hidden="1">
      <c r="A65" s="86" t="s">
        <v>124</v>
      </c>
      <c r="F65" s="1"/>
      <c r="G65" s="1"/>
    </row>
    <row r="66" spans="1:7" ht="15.6" hidden="1">
      <c r="A66" s="89" t="s">
        <v>139</v>
      </c>
    </row>
  </sheetData>
  <sheetProtection algorithmName="SHA-512" hashValue="BaWeqyXQke/ads6mUje4nOXHietHLdu1s2RBkFjTmtj2iMwgZXs0oFYHaf11XVu++2oRf4NUg6ew50/GVMVfrw==" saltValue="4hD5ENnEp5oDZcVDe2VUqA==" spinCount="100000" sheet="1" objects="1" scenarios="1"/>
  <phoneticPr fontId="0" type="noConversion"/>
  <dataValidations count="7">
    <dataValidation type="decimal" allowBlank="1" showInputMessage="1" showErrorMessage="1" sqref="C10" xr:uid="{00000000-0002-0000-0400-000000000000}">
      <formula1>1</formula1>
      <formula2>3.5</formula2>
    </dataValidation>
    <dataValidation type="decimal" allowBlank="1" showInputMessage="1" showErrorMessage="1" sqref="C9" xr:uid="{00000000-0002-0000-0400-000001000000}">
      <formula1>0</formula1>
      <formula2>1.2</formula2>
    </dataValidation>
    <dataValidation type="decimal" allowBlank="1" showInputMessage="1" showErrorMessage="1" sqref="C11" xr:uid="{00000000-0002-0000-0400-000002000000}">
      <formula1>0</formula1>
      <formula2>9</formula2>
    </dataValidation>
    <dataValidation type="decimal" allowBlank="1" showInputMessage="1" showErrorMessage="1" sqref="C12" xr:uid="{00000000-0002-0000-0400-000003000000}">
      <formula1>0</formula1>
      <formula2>25</formula2>
    </dataValidation>
    <dataValidation type="decimal" allowBlank="1" showInputMessage="1" showErrorMessage="1" sqref="C13" xr:uid="{00000000-0002-0000-0400-000004000000}">
      <formula1>0</formula1>
      <formula2>40</formula2>
    </dataValidation>
    <dataValidation type="decimal" allowBlank="1" showInputMessage="1" showErrorMessage="1" sqref="C14:C15" xr:uid="{00000000-0002-0000-0400-000005000000}">
      <formula1>0</formula1>
      <formula2>51</formula2>
    </dataValidation>
    <dataValidation type="list" allowBlank="1" showInputMessage="1" showErrorMessage="1" promptTitle="Vaihtoehtoinen polttoaine" prompt="Valitse polttoaine" sqref="I17:I22 I9:I14" xr:uid="{C7E36A1E-6506-43E6-83DE-7CFBEBE81F58}">
      <formula1>$T$18:$T$22</formula1>
    </dataValidation>
  </dataValidations>
  <pageMargins left="0.75" right="0.75" top="1" bottom="1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OHJE</vt:lpstr>
      <vt:lpstr>Hiilijalanjälki</vt:lpstr>
      <vt:lpstr>Sähkönkulutus</vt:lpstr>
      <vt:lpstr>Lämpöenergiankulutus</vt:lpstr>
      <vt:lpstr>Kuljetukset</vt:lpstr>
      <vt:lpstr>Jätehuolto</vt:lpstr>
      <vt:lpstr>Liikematkustaminen</vt:lpstr>
      <vt:lpstr>Päästökertoimet</vt:lpstr>
      <vt:lpstr>-</vt:lpstr>
    </vt:vector>
  </TitlesOfParts>
  <Company>Parikkalan kunta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anniina.kontiokorpi</dc:creator>
  <cp:lastModifiedBy>Karvonen Jaakko</cp:lastModifiedBy>
  <cp:lastPrinted>2011-05-06T07:51:44Z</cp:lastPrinted>
  <dcterms:created xsi:type="dcterms:W3CDTF">2011-05-04T05:59:05Z</dcterms:created>
  <dcterms:modified xsi:type="dcterms:W3CDTF">2022-03-04T06:05:25Z</dcterms:modified>
</cp:coreProperties>
</file>